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3.30\技術開発室\開発ＢＯＸ\99_技術資料 【部外秘】\換気計算シート(HPアップロード用)\"/>
    </mc:Choice>
  </mc:AlternateContent>
  <xr:revisionPtr revIDLastSave="0" documentId="13_ncr:1_{A0331499-AE11-4807-84C2-61F1C0F890E9}" xr6:coauthVersionLast="47" xr6:coauthVersionMax="47" xr10:uidLastSave="{00000000-0000-0000-0000-000000000000}"/>
  <bookViews>
    <workbookView xWindow="0" yWindow="0" windowWidth="9600" windowHeight="14910" tabRatio="826" activeTab="1" xr2:uid="{9E57DC37-D278-4582-863E-F2261B03F3A6}"/>
  </bookViews>
  <sheets>
    <sheet name="換気計算シート" sheetId="6" r:id="rId1"/>
    <sheet name="変更履歴" sheetId="8" r:id="rId2"/>
  </sheets>
  <definedNames>
    <definedName name="_xlnm.Print_Area" localSheetId="0">換気計算シート!$A$1:$L$99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B37" i="6"/>
  <c r="G68" i="6" l="1"/>
  <c r="F68" i="6"/>
  <c r="D68" i="6" l="1"/>
  <c r="I68" i="6" l="1"/>
  <c r="H68" i="6"/>
  <c r="E68" i="6"/>
  <c r="F16" i="6" l="1"/>
  <c r="D69" i="6" s="1"/>
  <c r="G89" i="6" l="1"/>
  <c r="F86" i="6"/>
  <c r="G83" i="6"/>
  <c r="F77" i="6"/>
  <c r="F71" i="6"/>
  <c r="G88" i="6"/>
  <c r="F85" i="6"/>
  <c r="G82" i="6"/>
  <c r="F76" i="6"/>
  <c r="G70" i="6"/>
  <c r="F88" i="6"/>
  <c r="G85" i="6"/>
  <c r="F82" i="6"/>
  <c r="G76" i="6"/>
  <c r="F70" i="6"/>
  <c r="G87" i="6"/>
  <c r="F84" i="6"/>
  <c r="G81" i="6"/>
  <c r="G75" i="6"/>
  <c r="G69" i="6"/>
  <c r="G84" i="6"/>
  <c r="F81" i="6"/>
  <c r="F75" i="6"/>
  <c r="F69" i="6"/>
  <c r="G86" i="6"/>
  <c r="F83" i="6"/>
  <c r="G77" i="6"/>
  <c r="G71" i="6"/>
  <c r="F89" i="6"/>
  <c r="F87" i="6"/>
  <c r="D92" i="6"/>
  <c r="D75" i="6"/>
  <c r="D81" i="6"/>
  <c r="D87" i="6"/>
  <c r="D93" i="6"/>
  <c r="D76" i="6"/>
  <c r="D88" i="6"/>
  <c r="D71" i="6"/>
  <c r="D78" i="6"/>
  <c r="D91" i="6"/>
  <c r="D70" i="6"/>
  <c r="D82" i="6"/>
  <c r="D94" i="6"/>
  <c r="D77" i="6"/>
  <c r="D83" i="6"/>
  <c r="D89" i="6"/>
  <c r="D72" i="6"/>
  <c r="D84" i="6"/>
  <c r="D90" i="6"/>
  <c r="D73" i="6"/>
  <c r="D79" i="6"/>
  <c r="D85" i="6"/>
  <c r="D74" i="6"/>
  <c r="D80" i="6"/>
  <c r="D86" i="6"/>
  <c r="F8" i="6" l="1"/>
  <c r="F13" i="6" l="1"/>
  <c r="F37" i="6" l="1"/>
  <c r="I87" i="6" s="1"/>
  <c r="F33" i="6"/>
  <c r="I71" i="6" l="1"/>
  <c r="E71" i="6"/>
  <c r="I70" i="6"/>
  <c r="H76" i="6"/>
  <c r="E86" i="6"/>
  <c r="E94" i="6"/>
  <c r="E78" i="6"/>
  <c r="H86" i="6"/>
  <c r="E81" i="6"/>
  <c r="I77" i="6"/>
  <c r="E84" i="6"/>
  <c r="E80" i="6"/>
  <c r="H87" i="6"/>
  <c r="H84" i="6"/>
  <c r="H83" i="6"/>
  <c r="I84" i="6"/>
  <c r="E74" i="6"/>
  <c r="E91" i="6"/>
  <c r="I89" i="6"/>
  <c r="E72" i="6"/>
  <c r="E69" i="6"/>
  <c r="I76" i="6"/>
  <c r="E82" i="6"/>
  <c r="H85" i="6"/>
  <c r="H69" i="6"/>
  <c r="I69" i="6"/>
  <c r="E85" i="6"/>
  <c r="I86" i="6"/>
  <c r="H71" i="6"/>
  <c r="E89" i="6"/>
  <c r="I88" i="6"/>
  <c r="E76" i="6"/>
  <c r="H82" i="6"/>
  <c r="H75" i="6"/>
  <c r="E88" i="6"/>
  <c r="H88" i="6"/>
  <c r="I85" i="6"/>
  <c r="E75" i="6"/>
  <c r="I75" i="6"/>
  <c r="E79" i="6"/>
  <c r="I83" i="6"/>
  <c r="H77" i="6"/>
  <c r="E83" i="6"/>
  <c r="E70" i="6"/>
  <c r="E93" i="6"/>
  <c r="H81" i="6"/>
  <c r="E92" i="6"/>
  <c r="I81" i="6"/>
  <c r="E73" i="6"/>
  <c r="E90" i="6"/>
  <c r="H89" i="6"/>
  <c r="E77" i="6"/>
  <c r="I82" i="6"/>
  <c r="H70" i="6"/>
  <c r="E8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立石</author>
  </authors>
  <commentList>
    <comment ref="F18" authorId="0" shapeId="0" xr:uid="{E0D9D79A-9B17-44E8-BC74-E86D3EB6AAC3}">
      <text>
        <r>
          <rPr>
            <sz val="9"/>
            <color indexed="81"/>
            <rFont val="MS P ゴシック"/>
            <family val="3"/>
            <charset val="128"/>
          </rPr>
          <t>例として、
安全率50%としたい場合は1.5
安全率30%としたい場合は1.3
など、お客様の使用状況に応じてご入力ください。
(日射による影響が不明の場合は充分な安全率を
掛けてください。)</t>
        </r>
      </text>
    </comment>
    <comment ref="F20" authorId="0" shapeId="0" xr:uid="{6A3FA4E2-7550-4F81-8B7B-82D55AA21072}">
      <text>
        <r>
          <rPr>
            <b/>
            <sz val="9"/>
            <color indexed="81"/>
            <rFont val="MS P ゴシック"/>
            <family val="3"/>
            <charset val="128"/>
          </rPr>
          <t>鋼板の場合は 5.5W/(㎡･K)
プラスチックの場合は 3.5W/(㎡･K)</t>
        </r>
      </text>
    </comment>
    <comment ref="E64" authorId="0" shapeId="0" xr:uid="{37D3CC3D-FE09-471E-991B-C78165209FE6}">
      <text>
        <r>
          <rPr>
            <b/>
            <sz val="18"/>
            <color indexed="81"/>
            <rFont val="MS P ゴシック"/>
            <family val="3"/>
            <charset val="128"/>
          </rPr>
          <t>【注記参照】</t>
        </r>
      </text>
    </comment>
    <comment ref="H64" authorId="0" shapeId="0" xr:uid="{FF003EE3-B733-4EBA-ACBE-496547B63227}">
      <text>
        <r>
          <rPr>
            <b/>
            <sz val="18"/>
            <color indexed="81"/>
            <rFont val="MS P ゴシック"/>
            <family val="3"/>
            <charset val="128"/>
          </rPr>
          <t>【注記参照】</t>
        </r>
      </text>
    </comment>
  </commentList>
</comments>
</file>

<file path=xl/sharedStrings.xml><?xml version="1.0" encoding="utf-8"?>
<sst xmlns="http://schemas.openxmlformats.org/spreadsheetml/2006/main" count="164" uniqueCount="150">
  <si>
    <t>mm</t>
  </si>
  <si>
    <t>mm</t>
    <phoneticPr fontId="1"/>
  </si>
  <si>
    <t>m</t>
    <phoneticPr fontId="1"/>
  </si>
  <si>
    <t>W/(㎡･K)</t>
  </si>
  <si>
    <t>℃</t>
  </si>
  <si>
    <t>熱貫通率　    Ｕ</t>
    <rPh sb="1" eb="3">
      <t>カンツウ</t>
    </rPh>
    <phoneticPr fontId="1"/>
  </si>
  <si>
    <t>安全率</t>
    <rPh sb="0" eb="2">
      <t>アンゼン</t>
    </rPh>
    <rPh sb="2" eb="3">
      <t>リツ</t>
    </rPh>
    <phoneticPr fontId="1"/>
  </si>
  <si>
    <t>W</t>
    <phoneticPr fontId="1"/>
  </si>
  <si>
    <t>GTS-12W</t>
    <phoneticPr fontId="1"/>
  </si>
  <si>
    <t>GTS-12W-H</t>
    <phoneticPr fontId="1"/>
  </si>
  <si>
    <t>GTS-12W-ST</t>
    <phoneticPr fontId="1"/>
  </si>
  <si>
    <t>GTS-15W</t>
    <phoneticPr fontId="1"/>
  </si>
  <si>
    <t>GTS-15W-H</t>
    <phoneticPr fontId="1"/>
  </si>
  <si>
    <t>GTS-15W-ST</t>
    <phoneticPr fontId="1"/>
  </si>
  <si>
    <t>GTS-20W</t>
    <phoneticPr fontId="1"/>
  </si>
  <si>
    <t>GTS-20W-H</t>
    <phoneticPr fontId="1"/>
  </si>
  <si>
    <t>GTS-20W-ST</t>
    <phoneticPr fontId="1"/>
  </si>
  <si>
    <t>GTS-30W</t>
    <phoneticPr fontId="1"/>
  </si>
  <si>
    <t>GTS-30W-H</t>
    <phoneticPr fontId="1"/>
  </si>
  <si>
    <t>GTS-30W-ST</t>
    <phoneticPr fontId="1"/>
  </si>
  <si>
    <t>GTS-45W</t>
    <phoneticPr fontId="1"/>
  </si>
  <si>
    <t>GTS-45W-H</t>
    <phoneticPr fontId="1"/>
  </si>
  <si>
    <t>GTS-45W-ST</t>
    <phoneticPr fontId="1"/>
  </si>
  <si>
    <t>G2-2015BF</t>
    <phoneticPr fontId="1"/>
  </si>
  <si>
    <t>G2-15BF</t>
    <phoneticPr fontId="1"/>
  </si>
  <si>
    <t>G2-20BF</t>
    <phoneticPr fontId="1"/>
  </si>
  <si>
    <t>G2-30BF</t>
    <phoneticPr fontId="1"/>
  </si>
  <si>
    <t>G2-45BF</t>
    <phoneticPr fontId="1"/>
  </si>
  <si>
    <t>給気口から排気口までの高さの差</t>
    <rPh sb="0" eb="2">
      <t>キュウキ</t>
    </rPh>
    <rPh sb="2" eb="3">
      <t>クチ</t>
    </rPh>
    <rPh sb="5" eb="7">
      <t>ハイキ</t>
    </rPh>
    <rPh sb="7" eb="8">
      <t>グチ</t>
    </rPh>
    <rPh sb="11" eb="12">
      <t>タカ</t>
    </rPh>
    <rPh sb="14" eb="15">
      <t>サ</t>
    </rPh>
    <phoneticPr fontId="1"/>
  </si>
  <si>
    <t>-</t>
    <phoneticPr fontId="1"/>
  </si>
  <si>
    <t>GTRE-20B</t>
    <phoneticPr fontId="1"/>
  </si>
  <si>
    <t>GTRE-20B-H</t>
    <phoneticPr fontId="1"/>
  </si>
  <si>
    <t>GTRE-20S-ST</t>
    <phoneticPr fontId="1"/>
  </si>
  <si>
    <t>GTRE-45B</t>
    <phoneticPr fontId="1"/>
  </si>
  <si>
    <t>GTRE-45B-H</t>
    <phoneticPr fontId="1"/>
  </si>
  <si>
    <t>GTRE-45S-ST</t>
    <phoneticPr fontId="1"/>
  </si>
  <si>
    <t>タイプ</t>
    <phoneticPr fontId="1"/>
  </si>
  <si>
    <t>必要台数</t>
    <rPh sb="0" eb="1">
      <t>ヒツヨウ</t>
    </rPh>
    <rPh sb="1" eb="3">
      <t>ダイスウ</t>
    </rPh>
    <phoneticPr fontId="1"/>
  </si>
  <si>
    <t>50Hz</t>
    <phoneticPr fontId="1"/>
  </si>
  <si>
    <t>60Hz</t>
    <phoneticPr fontId="1"/>
  </si>
  <si>
    <t>変更内容</t>
    <rPh sb="0" eb="2">
      <t>ヘンコウ</t>
    </rPh>
    <rPh sb="2" eb="4">
      <t>ナイヨウ</t>
    </rPh>
    <phoneticPr fontId="1"/>
  </si>
  <si>
    <t>変更日</t>
    <rPh sb="0" eb="2">
      <t>ヘンコウ</t>
    </rPh>
    <rPh sb="2" eb="3">
      <t>ニチ</t>
    </rPh>
    <phoneticPr fontId="1"/>
  </si>
  <si>
    <t>Ver.</t>
    <phoneticPr fontId="1"/>
  </si>
  <si>
    <t>初版</t>
    <rPh sb="0" eb="2">
      <t>ショハン</t>
    </rPh>
    <phoneticPr fontId="1"/>
  </si>
  <si>
    <r>
      <t>〇盤の表面積S（ｍ</t>
    </r>
    <r>
      <rPr>
        <vertAlign val="superscript"/>
        <sz val="12"/>
        <color theme="1"/>
        <rFont val="ＭＳ Ｐゴシック"/>
        <family val="3"/>
        <charset val="128"/>
      </rPr>
      <t>2</t>
    </r>
    <r>
      <rPr>
        <sz val="12"/>
        <color theme="1"/>
        <rFont val="ＭＳ Ｐゴシック"/>
        <family val="3"/>
        <charset val="128"/>
      </rPr>
      <t>）</t>
    </r>
    <rPh sb="1" eb="2">
      <t>バン</t>
    </rPh>
    <rPh sb="3" eb="6">
      <t>ヒョウメンセキ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</si>
  <si>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</si>
  <si>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</si>
  <si>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</si>
  <si>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</si>
  <si>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</si>
  <si>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</si>
  <si>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</si>
  <si>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</si>
  <si>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連結盤の中間盤</t>
    <rPh sb="0" eb="2">
      <t>レンケツ</t>
    </rPh>
    <rPh sb="2" eb="3">
      <t>バン</t>
    </rPh>
    <rPh sb="4" eb="6">
      <t>チュウカン</t>
    </rPh>
    <rPh sb="6" eb="7">
      <t>バン</t>
    </rPh>
    <phoneticPr fontId="1"/>
  </si>
  <si>
    <t>S=2×H×（W＋D）＋W×D</t>
    <phoneticPr fontId="1"/>
  </si>
  <si>
    <t>S=W×（H＋D）＋2×D×H</t>
    <phoneticPr fontId="1"/>
  </si>
  <si>
    <t>S=D×（H＋W)＋2×W×H</t>
    <phoneticPr fontId="1"/>
  </si>
  <si>
    <t>S=H×（W＋D)＋W×D</t>
    <phoneticPr fontId="1"/>
  </si>
  <si>
    <t>S=2×W×H＋W×D</t>
    <phoneticPr fontId="1"/>
  </si>
  <si>
    <t>S=W×（H＋D）</t>
    <phoneticPr fontId="1"/>
  </si>
  <si>
    <t>S=2×H×W＋2×H×D＋2×W×D</t>
    <phoneticPr fontId="1"/>
  </si>
  <si>
    <t>S=H×W＋2×H×D＋2×W×D</t>
    <phoneticPr fontId="1"/>
  </si>
  <si>
    <t>１）先の計算は、社内の簡易P-Q試験装置を用いた計測を</t>
    <rPh sb="2" eb="3">
      <t>サキ</t>
    </rPh>
    <rPh sb="4" eb="6">
      <t>ケイサン</t>
    </rPh>
    <rPh sb="8" eb="10">
      <t>シャナイ</t>
    </rPh>
    <rPh sb="11" eb="13">
      <t>カンイ</t>
    </rPh>
    <rPh sb="16" eb="18">
      <t>シケン</t>
    </rPh>
    <rPh sb="18" eb="20">
      <t>ソウチ</t>
    </rPh>
    <rPh sb="21" eb="22">
      <t>モチ</t>
    </rPh>
    <rPh sb="24" eb="26">
      <t>ケイソク</t>
    </rPh>
    <phoneticPr fontId="1"/>
  </si>
  <si>
    <t>　　保証値で無いことをご了承願います。</t>
    <rPh sb="2" eb="4">
      <t>ホショウ</t>
    </rPh>
    <rPh sb="4" eb="5">
      <t>アタイ</t>
    </rPh>
    <rPh sb="6" eb="7">
      <t>ナ</t>
    </rPh>
    <rPh sb="12" eb="14">
      <t>リョウショウ</t>
    </rPh>
    <rPh sb="14" eb="15">
      <t>ネガ</t>
    </rPh>
    <phoneticPr fontId="1"/>
  </si>
  <si>
    <t>２）計算値及び選定された結果は、あくまで目安であり、</t>
    <rPh sb="2" eb="4">
      <t>ケイサン</t>
    </rPh>
    <rPh sb="4" eb="5">
      <t>アタイ</t>
    </rPh>
    <rPh sb="5" eb="6">
      <t>オヨ</t>
    </rPh>
    <phoneticPr fontId="1"/>
  </si>
  <si>
    <t>　　もとに算出した場合の目安となる推定の数値です。</t>
    <rPh sb="5" eb="7">
      <t>サンシュツ</t>
    </rPh>
    <rPh sb="9" eb="11">
      <t>バアイ</t>
    </rPh>
    <rPh sb="12" eb="14">
      <t>メヤス</t>
    </rPh>
    <rPh sb="17" eb="19">
      <t>スイテイ</t>
    </rPh>
    <rPh sb="20" eb="22">
      <t>スウチ</t>
    </rPh>
    <phoneticPr fontId="1"/>
  </si>
  <si>
    <t>&lt;盤設置条件&gt;</t>
    <rPh sb="1" eb="2">
      <t>バン</t>
    </rPh>
    <rPh sb="2" eb="4">
      <t>セッチ</t>
    </rPh>
    <rPh sb="4" eb="6">
      <t>ジョウケン</t>
    </rPh>
    <phoneticPr fontId="1"/>
  </si>
  <si>
    <t>(1気圧 30℃ 60%RH条件下)</t>
    <rPh sb="2" eb="4">
      <t>キアツ</t>
    </rPh>
    <rPh sb="14" eb="17">
      <t>ジョウケンカ</t>
    </rPh>
    <phoneticPr fontId="1"/>
  </si>
  <si>
    <t>(1気圧 30℃ 60%RH条件下)</t>
    <phoneticPr fontId="1"/>
  </si>
  <si>
    <t>①</t>
    <phoneticPr fontId="1"/>
  </si>
  <si>
    <t>熱対策なしの推定盤内温度（℃）</t>
  </si>
  <si>
    <t>℃</t>
    <phoneticPr fontId="1"/>
  </si>
  <si>
    <t>㎡</t>
    <phoneticPr fontId="1"/>
  </si>
  <si>
    <t>【換気を行わない(ギャラリー、ファンを用いない)場合の盤の推定温度】</t>
    <rPh sb="1" eb="3">
      <t>カンキ</t>
    </rPh>
    <rPh sb="4" eb="5">
      <t>オコナ</t>
    </rPh>
    <rPh sb="19" eb="20">
      <t>モチ</t>
    </rPh>
    <rPh sb="24" eb="26">
      <t>バアイ</t>
    </rPh>
    <rPh sb="27" eb="28">
      <t>バン</t>
    </rPh>
    <rPh sb="29" eb="31">
      <t>スイテイ</t>
    </rPh>
    <rPh sb="31" eb="33">
      <t>オンド</t>
    </rPh>
    <phoneticPr fontId="1"/>
  </si>
  <si>
    <t>(1)式からTの値を計算すると</t>
    <rPh sb="3" eb="4">
      <t>シキ</t>
    </rPh>
    <rPh sb="8" eb="9">
      <t>アタイ</t>
    </rPh>
    <rPh sb="10" eb="12">
      <t>ケイサン</t>
    </rPh>
    <phoneticPr fontId="1"/>
  </si>
  <si>
    <t>フードの風量係数 x</t>
    <rPh sb="4" eb="6">
      <t>フウリョウ</t>
    </rPh>
    <rPh sb="6" eb="8">
      <t>ケイスウ</t>
    </rPh>
    <phoneticPr fontId="1"/>
  </si>
  <si>
    <t>【注記】</t>
    <rPh sb="0" eb="2">
      <t>チュウキ</t>
    </rPh>
    <phoneticPr fontId="1"/>
  </si>
  <si>
    <t>※2.必要組数『２』は、給気側も排気側も２個使いという意味です。</t>
    <rPh sb="3" eb="5">
      <t>ヒツヨウ</t>
    </rPh>
    <rPh sb="5" eb="7">
      <t>クミスウ</t>
    </rPh>
    <rPh sb="12" eb="14">
      <t>キュウキ</t>
    </rPh>
    <rPh sb="14" eb="15">
      <t>ガワ</t>
    </rPh>
    <rPh sb="16" eb="18">
      <t>ハイキ</t>
    </rPh>
    <rPh sb="18" eb="19">
      <t>ガワ</t>
    </rPh>
    <rPh sb="21" eb="22">
      <t>コ</t>
    </rPh>
    <rPh sb="22" eb="23">
      <t>ヅカ</t>
    </rPh>
    <rPh sb="27" eb="29">
      <t>イミ</t>
    </rPh>
    <phoneticPr fontId="1"/>
  </si>
  <si>
    <t>※1.吸気側にギャラリー、排気側に換気ファン付きの同種ギャラリーを想定しています。</t>
    <rPh sb="3" eb="5">
      <t>キュウキ</t>
    </rPh>
    <rPh sb="5" eb="6">
      <t>ガワ</t>
    </rPh>
    <rPh sb="13" eb="15">
      <t>ハイキ</t>
    </rPh>
    <rPh sb="15" eb="16">
      <t>ガワ</t>
    </rPh>
    <rPh sb="17" eb="19">
      <t>カンキ</t>
    </rPh>
    <rPh sb="22" eb="23">
      <t>ツ</t>
    </rPh>
    <rPh sb="25" eb="27">
      <t>ドウシュ</t>
    </rPh>
    <rPh sb="33" eb="35">
      <t>ソウテイ</t>
    </rPh>
    <phoneticPr fontId="1"/>
  </si>
  <si>
    <t>②自然換気を行った場合</t>
    <phoneticPr fontId="1"/>
  </si>
  <si>
    <t>【強制換気を行った(ファンを用いた)場合の換気計算】</t>
    <rPh sb="1" eb="3">
      <t>キョウセイ</t>
    </rPh>
    <rPh sb="3" eb="5">
      <t>カンキ</t>
    </rPh>
    <rPh sb="6" eb="7">
      <t>オコナ</t>
    </rPh>
    <rPh sb="14" eb="15">
      <t>モチ</t>
    </rPh>
    <rPh sb="18" eb="20">
      <t>バアイ</t>
    </rPh>
    <rPh sb="21" eb="25">
      <t>カンキケイサン</t>
    </rPh>
    <phoneticPr fontId="1"/>
  </si>
  <si>
    <t>組(個)</t>
    <rPh sb="0" eb="1">
      <t>クミ</t>
    </rPh>
    <rPh sb="2" eb="3">
      <t>コ</t>
    </rPh>
    <phoneticPr fontId="1"/>
  </si>
  <si>
    <t>組(個)</t>
    <phoneticPr fontId="1"/>
  </si>
  <si>
    <t>（外気温度)</t>
  </si>
  <si>
    <t>（許容温度）</t>
    <phoneticPr fontId="1"/>
  </si>
  <si>
    <t>③強制換気を行った場合</t>
    <phoneticPr fontId="1"/>
  </si>
  <si>
    <t>③</t>
    <phoneticPr fontId="1"/>
  </si>
  <si>
    <t>盤の有効放熱表面積　S</t>
    <rPh sb="0" eb="1">
      <t>バン</t>
    </rPh>
    <rPh sb="2" eb="4">
      <t>ユウコウ</t>
    </rPh>
    <rPh sb="4" eb="6">
      <t>ホウネツ</t>
    </rPh>
    <rPh sb="6" eb="9">
      <t>ヒョウメンセキ</t>
    </rPh>
    <phoneticPr fontId="2"/>
  </si>
  <si>
    <t>となります。</t>
    <phoneticPr fontId="1"/>
  </si>
  <si>
    <t>②</t>
    <phoneticPr fontId="1"/>
  </si>
  <si>
    <t>【必要換気放熱量について】</t>
    <rPh sb="1" eb="3">
      <t>ヒツヨウ</t>
    </rPh>
    <rPh sb="3" eb="5">
      <t>カンキ</t>
    </rPh>
    <rPh sb="5" eb="7">
      <t>ホウネツ</t>
    </rPh>
    <rPh sb="7" eb="8">
      <t>リョウ</t>
    </rPh>
    <phoneticPr fontId="1"/>
  </si>
  <si>
    <t>④</t>
    <phoneticPr fontId="1"/>
  </si>
  <si>
    <t>W</t>
    <phoneticPr fontId="1"/>
  </si>
  <si>
    <t>給気側＆排気側
ともに同じギャラリーを
設置の場合</t>
    <rPh sb="0" eb="2">
      <t>キュウキ</t>
    </rPh>
    <rPh sb="2" eb="3">
      <t>ガワ</t>
    </rPh>
    <rPh sb="4" eb="6">
      <t>ハイキ</t>
    </rPh>
    <rPh sb="6" eb="7">
      <t>ガワ</t>
    </rPh>
    <rPh sb="11" eb="12">
      <t>オナ</t>
    </rPh>
    <rPh sb="20" eb="22">
      <t>セッチ</t>
    </rPh>
    <rPh sb="23" eb="25">
      <t>バアイ</t>
    </rPh>
    <phoneticPr fontId="1"/>
  </si>
  <si>
    <t>【換気計算結果】</t>
    <rPh sb="5" eb="7">
      <t>ケッカ</t>
    </rPh>
    <phoneticPr fontId="1"/>
  </si>
  <si>
    <t>⑤</t>
    <phoneticPr fontId="1"/>
  </si>
  <si>
    <t>(3)式より算出した必要となるギャラリーの組数(台数)を次頁の"③強制換気を行った場合"に示します。</t>
    <phoneticPr fontId="1"/>
  </si>
  <si>
    <r>
      <t>盤壁面からの放熱量Q</t>
    </r>
    <r>
      <rPr>
        <vertAlign val="subscript"/>
        <sz val="12"/>
        <color theme="1"/>
        <rFont val="ＭＳ Ｐゴシック"/>
        <family val="3"/>
        <charset val="128"/>
      </rPr>
      <t>B</t>
    </r>
    <phoneticPr fontId="1"/>
  </si>
  <si>
    <r>
      <t>空気密度　ρ</t>
    </r>
    <r>
      <rPr>
        <vertAlign val="subscript"/>
        <sz val="12"/>
        <color theme="1"/>
        <rFont val="ＭＳ Ｐゴシック"/>
        <family val="3"/>
        <charset val="128"/>
      </rPr>
      <t>E</t>
    </r>
    <rPh sb="0" eb="2">
      <t>クウキ</t>
    </rPh>
    <rPh sb="2" eb="4">
      <t>ミツド</t>
    </rPh>
    <phoneticPr fontId="1"/>
  </si>
  <si>
    <r>
      <t>自然換気
放熱量
Ｑ</t>
    </r>
    <r>
      <rPr>
        <vertAlign val="subscript"/>
        <sz val="12"/>
        <color theme="1"/>
        <rFont val="ＭＳ Ｐゴシック"/>
        <family val="3"/>
        <charset val="128"/>
      </rPr>
      <t>V</t>
    </r>
    <rPh sb="5" eb="7">
      <t>ホウネツ</t>
    </rPh>
    <phoneticPr fontId="1"/>
  </si>
  <si>
    <r>
      <t>強制換気
放熱量
Q</t>
    </r>
    <r>
      <rPr>
        <vertAlign val="subscript"/>
        <sz val="12"/>
        <color theme="1"/>
        <rFont val="ＭＳ Ｐゴシック"/>
        <family val="3"/>
        <charset val="128"/>
      </rPr>
      <t>K</t>
    </r>
    <phoneticPr fontId="1"/>
  </si>
  <si>
    <r>
      <t>盤内部空気の平均値  t</t>
    </r>
    <r>
      <rPr>
        <vertAlign val="subscript"/>
        <sz val="12"/>
        <rFont val="ＭＳ Ｐゴシック"/>
        <family val="3"/>
        <charset val="128"/>
      </rPr>
      <t xml:space="preserve">i </t>
    </r>
    <r>
      <rPr>
        <sz val="12"/>
        <rFont val="ＭＳ Ｐゴシック"/>
        <family val="3"/>
        <charset val="128"/>
      </rPr>
      <t>= (t</t>
    </r>
    <r>
      <rPr>
        <vertAlign val="subscript"/>
        <sz val="12"/>
        <rFont val="ＭＳ Ｐゴシック"/>
        <family val="3"/>
        <charset val="128"/>
      </rPr>
      <t>t</t>
    </r>
    <r>
      <rPr>
        <sz val="12"/>
        <rFont val="ＭＳ Ｐゴシック"/>
        <family val="3"/>
        <charset val="128"/>
      </rPr>
      <t>+t</t>
    </r>
    <r>
      <rPr>
        <vertAlign val="subscript"/>
        <sz val="12"/>
        <rFont val="ＭＳ Ｐゴシック"/>
        <family val="3"/>
        <charset val="128"/>
      </rPr>
      <t>0</t>
    </r>
    <r>
      <rPr>
        <sz val="12"/>
        <rFont val="ＭＳ Ｐゴシック"/>
        <family val="3"/>
        <charset val="128"/>
      </rPr>
      <t>)/2</t>
    </r>
    <rPh sb="0" eb="1">
      <t>バン</t>
    </rPh>
    <rPh sb="1" eb="3">
      <t>ナイブ</t>
    </rPh>
    <rPh sb="3" eb="5">
      <t>クウキ</t>
    </rPh>
    <rPh sb="6" eb="9">
      <t>ヘイキンチ</t>
    </rPh>
    <phoneticPr fontId="1"/>
  </si>
  <si>
    <r>
      <t>内部発熱量 Q</t>
    </r>
    <r>
      <rPr>
        <vertAlign val="subscript"/>
        <sz val="12"/>
        <color theme="1"/>
        <rFont val="ＭＳ Ｐゴシック"/>
        <family val="3"/>
        <charset val="128"/>
      </rPr>
      <t>C</t>
    </r>
    <rPh sb="0" eb="2">
      <t>ナイブ</t>
    </rPh>
    <rPh sb="2" eb="4">
      <t>ハツネツ</t>
    </rPh>
    <rPh sb="4" eb="5">
      <t>リョウ</t>
    </rPh>
    <phoneticPr fontId="1"/>
  </si>
  <si>
    <r>
      <t>比熱　C</t>
    </r>
    <r>
      <rPr>
        <vertAlign val="subscript"/>
        <sz val="12"/>
        <color theme="1"/>
        <rFont val="ＭＳ Ｐゴシック"/>
        <family val="3"/>
        <charset val="128"/>
      </rPr>
      <t>p</t>
    </r>
    <rPh sb="0" eb="2">
      <t>ヒネツ</t>
    </rPh>
    <phoneticPr fontId="1"/>
  </si>
  <si>
    <t>kＪ/kg・K</t>
    <phoneticPr fontId="1"/>
  </si>
  <si>
    <t>kg/ｍ3</t>
    <phoneticPr fontId="1"/>
  </si>
  <si>
    <t>【自然換気を行った(ファンを用いない)場合の換気計算】</t>
    <rPh sb="1" eb="3">
      <t>シゼン</t>
    </rPh>
    <rPh sb="3" eb="5">
      <t>カンキ</t>
    </rPh>
    <rPh sb="6" eb="7">
      <t>オコナ</t>
    </rPh>
    <rPh sb="14" eb="15">
      <t>モチ</t>
    </rPh>
    <rPh sb="19" eb="21">
      <t>バアイ</t>
    </rPh>
    <rPh sb="22" eb="24">
      <t>カンキ</t>
    </rPh>
    <rPh sb="24" eb="26">
      <t>ケイサン</t>
    </rPh>
    <phoneticPr fontId="1"/>
  </si>
  <si>
    <t>(1組当たり)</t>
    <rPh sb="2" eb="3">
      <t>クミ</t>
    </rPh>
    <rPh sb="3" eb="4">
      <t>ア</t>
    </rPh>
    <phoneticPr fontId="1"/>
  </si>
  <si>
    <t>D（奥行）</t>
  </si>
  <si>
    <t xml:space="preserve"> H（高さ）</t>
    <rPh sb="3" eb="4">
      <t>タカ</t>
    </rPh>
    <phoneticPr fontId="2"/>
  </si>
  <si>
    <t xml:space="preserve">盤寸法 </t>
    <phoneticPr fontId="1"/>
  </si>
  <si>
    <t>W（巾）</t>
    <phoneticPr fontId="1"/>
  </si>
  <si>
    <t>W</t>
    <phoneticPr fontId="1"/>
  </si>
  <si>
    <t>(1組当たり)</t>
    <phoneticPr fontId="1"/>
  </si>
  <si>
    <r>
      <t>盤内天井付近の空気温度  t</t>
    </r>
    <r>
      <rPr>
        <vertAlign val="subscript"/>
        <sz val="12"/>
        <rFont val="ＭＳ Ｐゴシック"/>
        <family val="3"/>
        <charset val="128"/>
      </rPr>
      <t>t</t>
    </r>
    <rPh sb="0" eb="2">
      <t>バンナイ</t>
    </rPh>
    <rPh sb="2" eb="4">
      <t>テンジョウ</t>
    </rPh>
    <rPh sb="4" eb="6">
      <t>フキン</t>
    </rPh>
    <rPh sb="7" eb="9">
      <t>クウキ</t>
    </rPh>
    <rPh sb="9" eb="11">
      <t>オンド</t>
    </rPh>
    <phoneticPr fontId="1"/>
  </si>
  <si>
    <r>
      <t>周囲温度　t</t>
    </r>
    <r>
      <rPr>
        <vertAlign val="subscript"/>
        <sz val="12"/>
        <rFont val="ＭＳ Ｐゴシック"/>
        <family val="3"/>
        <charset val="128"/>
      </rPr>
      <t>0</t>
    </r>
    <rPh sb="0" eb="2">
      <t>シュウイ</t>
    </rPh>
    <rPh sb="2" eb="4">
      <t>オンド</t>
    </rPh>
    <phoneticPr fontId="1"/>
  </si>
  <si>
    <t>（フード無）</t>
    <phoneticPr fontId="1"/>
  </si>
  <si>
    <t>&lt;換気計算&gt;</t>
    <phoneticPr fontId="1"/>
  </si>
  <si>
    <r>
      <t>総発熱量 Q</t>
    </r>
    <r>
      <rPr>
        <vertAlign val="subscript"/>
        <sz val="12"/>
        <color theme="1"/>
        <rFont val="ＭＳ Ｐゴシック"/>
        <family val="3"/>
        <charset val="128"/>
      </rPr>
      <t>A</t>
    </r>
    <r>
      <rPr>
        <sz val="12"/>
        <color theme="1"/>
        <rFont val="ＭＳ Ｐゴシック"/>
        <family val="3"/>
        <charset val="128"/>
      </rPr>
      <t xml:space="preserve"> = Q + Q</t>
    </r>
    <r>
      <rPr>
        <vertAlign val="subscript"/>
        <sz val="12"/>
        <color theme="1"/>
        <rFont val="ＭＳ Ｐゴシック"/>
        <family val="3"/>
        <charset val="128"/>
      </rPr>
      <t>S</t>
    </r>
    <r>
      <rPr>
        <sz val="12"/>
        <color theme="1"/>
        <rFont val="ＭＳ Ｐゴシック"/>
        <family val="3"/>
        <charset val="128"/>
      </rPr>
      <t>+ Q</t>
    </r>
    <r>
      <rPr>
        <vertAlign val="subscript"/>
        <sz val="12"/>
        <color theme="1"/>
        <rFont val="ＭＳ Ｐゴシック"/>
        <family val="3"/>
        <charset val="128"/>
      </rPr>
      <t>W</t>
    </r>
    <rPh sb="0" eb="4">
      <t>ソウハツネツリョウ</t>
    </rPh>
    <phoneticPr fontId="1"/>
  </si>
  <si>
    <r>
      <t>換気により必要な放熱量は総発熱量Q</t>
    </r>
    <r>
      <rPr>
        <vertAlign val="subscript"/>
        <sz val="12"/>
        <color theme="1"/>
        <rFont val="ＭＳ Ｐゴシック"/>
        <family val="3"/>
        <charset val="128"/>
      </rPr>
      <t>A</t>
    </r>
    <r>
      <rPr>
        <sz val="12"/>
        <color theme="1"/>
        <rFont val="ＭＳ Ｐゴシック"/>
        <family val="3"/>
        <charset val="128"/>
      </rPr>
      <t>より"盤壁面からの放熱量Q</t>
    </r>
    <r>
      <rPr>
        <vertAlign val="subscript"/>
        <sz val="12"/>
        <color theme="1"/>
        <rFont val="ＭＳ Ｐゴシック"/>
        <family val="3"/>
        <charset val="128"/>
      </rPr>
      <t>B</t>
    </r>
    <r>
      <rPr>
        <sz val="12"/>
        <color theme="1"/>
        <rFont val="ＭＳ Ｐゴシック"/>
        <family val="3"/>
        <charset val="128"/>
      </rPr>
      <t>"を引いた値なので、必要換気熱量Qは</t>
    </r>
    <rPh sb="0" eb="2">
      <t>カンキ</t>
    </rPh>
    <rPh sb="5" eb="7">
      <t>ヒツヨウ</t>
    </rPh>
    <rPh sb="8" eb="11">
      <t>ホウネツリョウ</t>
    </rPh>
    <rPh sb="12" eb="16">
      <t>ソウハツネツリョウ</t>
    </rPh>
    <rPh sb="21" eb="22">
      <t>バン</t>
    </rPh>
    <rPh sb="22" eb="24">
      <t>ヘキメン</t>
    </rPh>
    <rPh sb="27" eb="30">
      <t>ホウネツリョウ</t>
    </rPh>
    <rPh sb="34" eb="35">
      <t>ヒ</t>
    </rPh>
    <rPh sb="37" eb="38">
      <t>アタイ</t>
    </rPh>
    <rPh sb="42" eb="44">
      <t>ヒツヨウ</t>
    </rPh>
    <rPh sb="44" eb="46">
      <t>カンキ</t>
    </rPh>
    <rPh sb="46" eb="48">
      <t>ネツリョウ</t>
    </rPh>
    <phoneticPr fontId="1"/>
  </si>
  <si>
    <t>(2)式より算出した自然換気による放熱量と必要となるギャラリーの組数(台数)を次頁の"②自然換気を行った場合"に示します。</t>
    <rPh sb="3" eb="4">
      <t>シキ</t>
    </rPh>
    <rPh sb="6" eb="8">
      <t>サンシュツ</t>
    </rPh>
    <rPh sb="10" eb="14">
      <t>シゼンカンキ</t>
    </rPh>
    <rPh sb="17" eb="19">
      <t>ホウネツ</t>
    </rPh>
    <rPh sb="19" eb="20">
      <t>リョウ</t>
    </rPh>
    <rPh sb="21" eb="23">
      <t>ヒツヨウ</t>
    </rPh>
    <rPh sb="32" eb="34">
      <t>クミスウ</t>
    </rPh>
    <rPh sb="35" eb="37">
      <t>ダイスウ</t>
    </rPh>
    <rPh sb="39" eb="40">
      <t>ジ</t>
    </rPh>
    <rPh sb="40" eb="41">
      <t>ページ</t>
    </rPh>
    <rPh sb="44" eb="46">
      <t>シゼン</t>
    </rPh>
    <rPh sb="46" eb="48">
      <t>カンキ</t>
    </rPh>
    <rPh sb="49" eb="50">
      <t>オコナ</t>
    </rPh>
    <rPh sb="52" eb="54">
      <t>バアイ</t>
    </rPh>
    <rPh sb="56" eb="57">
      <t>シメ</t>
    </rPh>
    <phoneticPr fontId="1"/>
  </si>
  <si>
    <t>ギャラリー、ファン(換気扇)等による換気を行わななかった場合、盤内部の温度Tは(1)式により計算することが出来ます。</t>
    <rPh sb="18" eb="20">
      <t>カンキ</t>
    </rPh>
    <rPh sb="21" eb="22">
      <t>オコナ</t>
    </rPh>
    <rPh sb="28" eb="30">
      <t>バアイ</t>
    </rPh>
    <phoneticPr fontId="1"/>
  </si>
  <si>
    <r>
      <t>自然換気放熱量Q</t>
    </r>
    <r>
      <rPr>
        <vertAlign val="subscript"/>
        <sz val="12"/>
        <color theme="1"/>
        <rFont val="ＭＳ Ｐゴシック"/>
        <family val="3"/>
        <charset val="128"/>
      </rPr>
      <t>V</t>
    </r>
    <r>
      <rPr>
        <sz val="12"/>
        <color theme="1"/>
        <rFont val="ＭＳ Ｐゴシック"/>
        <family val="3"/>
        <charset val="128"/>
      </rPr>
      <t>は(2)式により計算することができます。(α</t>
    </r>
    <r>
      <rPr>
        <vertAlign val="subscript"/>
        <sz val="12"/>
        <color theme="1"/>
        <rFont val="ＭＳ Ｐゴシック"/>
        <family val="3"/>
        <charset val="128"/>
      </rPr>
      <t>x</t>
    </r>
    <r>
      <rPr>
        <sz val="12"/>
        <color theme="1"/>
        <rFont val="ＭＳ Ｐゴシック"/>
        <family val="3"/>
        <charset val="128"/>
      </rPr>
      <t>A</t>
    </r>
    <r>
      <rPr>
        <vertAlign val="subscript"/>
        <sz val="12"/>
        <color theme="1"/>
        <rFont val="ＭＳ Ｐゴシック"/>
        <family val="3"/>
        <charset val="128"/>
      </rPr>
      <t>x</t>
    </r>
    <r>
      <rPr>
        <sz val="12"/>
        <color theme="1"/>
        <rFont val="ＭＳ Ｐゴシック"/>
        <family val="3"/>
        <charset val="128"/>
      </rPr>
      <t>：実効換気口面積&lt;社内測定データより&gt;)</t>
    </r>
    <rPh sb="0" eb="2">
      <t>シゼン</t>
    </rPh>
    <rPh sb="2" eb="4">
      <t>カンキ</t>
    </rPh>
    <rPh sb="4" eb="6">
      <t>ホウネツ</t>
    </rPh>
    <rPh sb="6" eb="7">
      <t>リョウ</t>
    </rPh>
    <rPh sb="13" eb="14">
      <t>シキ</t>
    </rPh>
    <rPh sb="17" eb="19">
      <t>ケイサン</t>
    </rPh>
    <rPh sb="35" eb="37">
      <t>ジッコウ</t>
    </rPh>
    <rPh sb="37" eb="39">
      <t>カンキ</t>
    </rPh>
    <rPh sb="39" eb="40">
      <t>クチ</t>
    </rPh>
    <rPh sb="40" eb="42">
      <t>メンセキ</t>
    </rPh>
    <rPh sb="43" eb="45">
      <t>シャナイ</t>
    </rPh>
    <rPh sb="45" eb="47">
      <t>ソクテイ</t>
    </rPh>
    <phoneticPr fontId="1"/>
  </si>
  <si>
    <r>
      <t>強制換気による換気熱量Q</t>
    </r>
    <r>
      <rPr>
        <vertAlign val="subscript"/>
        <sz val="12"/>
        <color theme="1"/>
        <rFont val="ＭＳ Ｐゴシック"/>
        <family val="3"/>
        <charset val="128"/>
      </rPr>
      <t>K</t>
    </r>
    <r>
      <rPr>
        <sz val="12"/>
        <color theme="1"/>
        <rFont val="ＭＳ Ｐゴシック"/>
        <family val="3"/>
        <charset val="128"/>
      </rPr>
      <t>を計算することが出来ます。</t>
    </r>
    <rPh sb="21" eb="23">
      <t>デキ</t>
    </rPh>
    <phoneticPr fontId="1"/>
  </si>
  <si>
    <r>
      <t>なお、(3)式でのW</t>
    </r>
    <r>
      <rPr>
        <vertAlign val="subscript"/>
        <sz val="12"/>
        <color theme="1"/>
        <rFont val="ＭＳ Ｐゴシック"/>
        <family val="3"/>
        <charset val="128"/>
      </rPr>
      <t>K</t>
    </r>
    <r>
      <rPr>
        <sz val="12"/>
        <color theme="1"/>
        <rFont val="ＭＳ Ｐゴシック"/>
        <family val="3"/>
        <charset val="128"/>
      </rPr>
      <t>(㎥/min)は換気風量を示し、社内測定データより算出しています。</t>
    </r>
    <rPh sb="6" eb="7">
      <t>シキ</t>
    </rPh>
    <rPh sb="19" eb="21">
      <t>カンキ</t>
    </rPh>
    <rPh sb="21" eb="23">
      <t>フウリョウ</t>
    </rPh>
    <rPh sb="24" eb="25">
      <t>シメ</t>
    </rPh>
    <rPh sb="27" eb="29">
      <t>シャナイ</t>
    </rPh>
    <rPh sb="29" eb="31">
      <t>ソクテイ</t>
    </rPh>
    <rPh sb="36" eb="38">
      <t>サンシュツ</t>
    </rPh>
    <phoneticPr fontId="1"/>
  </si>
  <si>
    <t>【注記】</t>
    <rPh sb="1" eb="3">
      <t>チュウキ</t>
    </rPh>
    <phoneticPr fontId="1"/>
  </si>
  <si>
    <t>他の品種も同様に算出できるよう、社内評価中です。逐次、更新して追加予定です。</t>
    <phoneticPr fontId="1"/>
  </si>
  <si>
    <t>盤の設置形式(A～H)</t>
    <rPh sb="0" eb="1">
      <t>バン</t>
    </rPh>
    <rPh sb="2" eb="4">
      <t>セッチ</t>
    </rPh>
    <rPh sb="4" eb="6">
      <t>ケイシキ</t>
    </rPh>
    <phoneticPr fontId="1"/>
  </si>
  <si>
    <r>
      <t>日射による受熱量（筐体部） Q</t>
    </r>
    <r>
      <rPr>
        <vertAlign val="subscript"/>
        <sz val="12"/>
        <color theme="1"/>
        <rFont val="ＭＳ Ｐゴシック"/>
        <family val="3"/>
        <charset val="128"/>
      </rPr>
      <t xml:space="preserve">S </t>
    </r>
    <r>
      <rPr>
        <sz val="12"/>
        <color theme="1"/>
        <rFont val="ＭＳ Ｐゴシック"/>
        <family val="3"/>
        <charset val="128"/>
      </rPr>
      <t>※1</t>
    </r>
    <rPh sb="0" eb="2">
      <t>ニッシャ</t>
    </rPh>
    <rPh sb="5" eb="6">
      <t>ジュ</t>
    </rPh>
    <rPh sb="6" eb="7">
      <t>ネツ</t>
    </rPh>
    <rPh sb="7" eb="8">
      <t>リョウ</t>
    </rPh>
    <rPh sb="9" eb="11">
      <t>キョウタイ</t>
    </rPh>
    <rPh sb="11" eb="12">
      <t>ブ</t>
    </rPh>
    <phoneticPr fontId="1"/>
  </si>
  <si>
    <r>
      <t>日射による受熱量（窓枠から） Q</t>
    </r>
    <r>
      <rPr>
        <vertAlign val="subscript"/>
        <sz val="12"/>
        <color theme="1"/>
        <rFont val="ＭＳ Ｐゴシック"/>
        <family val="3"/>
        <charset val="128"/>
      </rPr>
      <t>W</t>
    </r>
    <r>
      <rPr>
        <sz val="12"/>
        <color theme="1"/>
        <rFont val="ＭＳ Ｐゴシック"/>
        <family val="3"/>
        <charset val="128"/>
      </rPr>
      <t>※1</t>
    </r>
    <rPh sb="0" eb="2">
      <t>ニッシャ</t>
    </rPh>
    <rPh sb="5" eb="6">
      <t>ジュ</t>
    </rPh>
    <rPh sb="6" eb="7">
      <t>ネツ</t>
    </rPh>
    <rPh sb="7" eb="8">
      <t>リョウ</t>
    </rPh>
    <rPh sb="9" eb="11">
      <t>マドワク</t>
    </rPh>
    <phoneticPr fontId="1"/>
  </si>
  <si>
    <t>計算シート</t>
    <rPh sb="0" eb="2">
      <t>ケイサン</t>
    </rPh>
    <phoneticPr fontId="1"/>
  </si>
  <si>
    <t>単独（自立）盤、周囲はフリー</t>
    <rPh sb="0" eb="2">
      <t>タンドク</t>
    </rPh>
    <rPh sb="3" eb="5">
      <t>ジリツ</t>
    </rPh>
    <rPh sb="6" eb="7">
      <t>バン</t>
    </rPh>
    <rPh sb="8" eb="10">
      <t>シュウイ</t>
    </rPh>
    <phoneticPr fontId="1"/>
  </si>
  <si>
    <t>単独（自立）盤、背面に壁</t>
    <phoneticPr fontId="1"/>
  </si>
  <si>
    <t>連結盤の端部盤、周囲はフリー</t>
    <rPh sb="0" eb="2">
      <t>レンケツ</t>
    </rPh>
    <rPh sb="2" eb="3">
      <t>バン</t>
    </rPh>
    <rPh sb="4" eb="6">
      <t>タンブ</t>
    </rPh>
    <rPh sb="6" eb="7">
      <t>バン</t>
    </rPh>
    <rPh sb="8" eb="10">
      <t>シュウイ</t>
    </rPh>
    <phoneticPr fontId="1"/>
  </si>
  <si>
    <t>連結盤の端部盤、背面に壁</t>
    <phoneticPr fontId="1"/>
  </si>
  <si>
    <t>底面にキャスター付等</t>
    <rPh sb="0" eb="2">
      <t>テイメン</t>
    </rPh>
    <rPh sb="8" eb="9">
      <t>ヅケ</t>
    </rPh>
    <rPh sb="9" eb="10">
      <t>ナド</t>
    </rPh>
    <phoneticPr fontId="1"/>
  </si>
  <si>
    <t>連結盤の中間盤、背面に壁</t>
    <phoneticPr fontId="1"/>
  </si>
  <si>
    <t>壁掛盤</t>
    <phoneticPr fontId="1"/>
  </si>
  <si>
    <t>ファンを用いず、ギャラリーのみで換気を行った場合の必要台数を算出します。</t>
    <rPh sb="4" eb="5">
      <t>モチ</t>
    </rPh>
    <rPh sb="16" eb="18">
      <t>カンキ</t>
    </rPh>
    <rPh sb="19" eb="20">
      <t>オコナ</t>
    </rPh>
    <rPh sb="22" eb="24">
      <t>バアイ</t>
    </rPh>
    <rPh sb="25" eb="27">
      <t>ヒツヨウ</t>
    </rPh>
    <rPh sb="27" eb="29">
      <t>ダイスウ</t>
    </rPh>
    <rPh sb="30" eb="32">
      <t>サンシュツ</t>
    </rPh>
    <phoneticPr fontId="1"/>
  </si>
  <si>
    <t>この必要放熱量を補うための必要なギャラリーの数を③【自然換気を行った場合】と④【強制換気を行った場合の換気計算】で算出します。</t>
    <phoneticPr fontId="1"/>
  </si>
  <si>
    <t>吸気側にギャラリーを、排気用にファン付きのギャラリーを用いた場合の放熱量を算出します。</t>
    <rPh sb="33" eb="35">
      <t>ホウネツ</t>
    </rPh>
    <phoneticPr fontId="1"/>
  </si>
  <si>
    <t>2021.3.16</t>
    <phoneticPr fontId="1"/>
  </si>
  <si>
    <t>2021.6.25</t>
    <phoneticPr fontId="1"/>
  </si>
  <si>
    <t>誤記修正</t>
    <rPh sb="0" eb="4">
      <t>ゴキシュウセイ</t>
    </rPh>
    <phoneticPr fontId="1"/>
  </si>
  <si>
    <t>2023.2.21</t>
    <phoneticPr fontId="1"/>
  </si>
  <si>
    <t>2023.9.7</t>
    <phoneticPr fontId="1"/>
  </si>
  <si>
    <t>A</t>
  </si>
  <si>
    <t>※1. 日射による影響はお客様で計算いただくか、0Wとして充分な安全率を掛けて計算ください。(屋内盤の場合は0Wです。)</t>
  </si>
  <si>
    <t>2024.12.10</t>
    <phoneticPr fontId="1"/>
  </si>
  <si>
    <t>一部文言削除</t>
    <rPh sb="0" eb="2">
      <t>イチブ</t>
    </rPh>
    <rPh sb="2" eb="4">
      <t>モンゴン</t>
    </rPh>
    <rPh sb="4" eb="6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</si>
</sst>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0_ "/>
    <numFmt numFmtId="178" formatCode="0_ "/>
    <numFmt numFmtId="179" formatCode="0_);[Red]\(0\)"/>
    <numFmt numFmtId="180" formatCode="0.0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rgb="FF1111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vertAlign val="subscript"/>
      <sz val="12"/>
      <color theme="1"/>
      <name val="ＭＳ Ｐゴシック"/>
      <family val="3"/>
      <charset val="128"/>
    </font>
    <font>
      <vertAlign val="subscript"/>
      <sz val="12"/>
      <name val="ＭＳ Ｐゴシック"/>
      <family val="3"/>
      <charset val="128"/>
    </font>
    <font>
      <b/>
      <sz val="1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5" fillId="2" borderId="1" xfId="0" applyFont="1" applyFill="1" applyBorder="1" applyProtection="1">
      <alignment vertical="center"/>
      <protection locked="0"/>
    </xf>
    <xf numFmtId="0" fontId="3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>
      <alignment vertical="center"/>
    </xf>
    <xf numFmtId="0" fontId="3" fillId="9" borderId="1" xfId="0" applyFont="1" applyFill="1" applyBorder="1">
      <alignment vertical="center"/>
    </xf>
    <xf numFmtId="178" fontId="3" fillId="0" borderId="0" xfId="0" quotePrefix="1" applyNumberFormat="1" applyFont="1">
      <alignment vertical="center"/>
    </xf>
    <xf numFmtId="0" fontId="0" fillId="4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3" fillId="0" borderId="0" xfId="0" quotePrefix="1" applyNumberFormat="1" applyFont="1">
      <alignment vertical="center"/>
    </xf>
    <xf numFmtId="177" fontId="3" fillId="0" borderId="0" xfId="0" quotePrefix="1" applyNumberFormat="1" applyFont="1">
      <alignment vertical="center"/>
    </xf>
    <xf numFmtId="178" fontId="7" fillId="0" borderId="0" xfId="0" quotePrefix="1" applyNumberFormat="1" applyFont="1">
      <alignment vertical="center"/>
    </xf>
    <xf numFmtId="0" fontId="5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8" fontId="3" fillId="0" borderId="0" xfId="0" quotePrefix="1" applyNumberFormat="1" applyFont="1" applyAlignment="1">
      <alignment vertical="top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8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/>
      <protection hidden="1"/>
    </xf>
    <xf numFmtId="0" fontId="3" fillId="4" borderId="1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2" borderId="25" xfId="0" applyFont="1" applyFill="1" applyBorder="1" applyAlignment="1">
      <alignment horizontal="right"/>
    </xf>
    <xf numFmtId="0" fontId="3" fillId="9" borderId="8" xfId="0" applyFont="1" applyFill="1" applyBorder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2" borderId="25" xfId="0" applyFont="1" applyFill="1" applyBorder="1">
      <alignment vertical="center"/>
    </xf>
    <xf numFmtId="0" fontId="5" fillId="2" borderId="25" xfId="0" applyFont="1" applyFill="1" applyBorder="1" applyAlignment="1" applyProtection="1">
      <protection locked="0"/>
    </xf>
    <xf numFmtId="0" fontId="5" fillId="8" borderId="8" xfId="0" applyFont="1" applyFill="1" applyBorder="1" applyAlignment="1" applyProtection="1">
      <protection locked="0"/>
    </xf>
    <xf numFmtId="0" fontId="3" fillId="9" borderId="4" xfId="0" applyFont="1" applyFill="1" applyBorder="1" applyAlignment="1" applyProtection="1">
      <protection hidden="1"/>
    </xf>
    <xf numFmtId="0" fontId="3" fillId="2" borderId="8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180" fontId="3" fillId="0" borderId="0" xfId="0" applyNumberFormat="1" applyFont="1">
      <alignment vertical="center"/>
    </xf>
    <xf numFmtId="0" fontId="3" fillId="4" borderId="36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>
      <alignment vertical="center"/>
    </xf>
    <xf numFmtId="0" fontId="3" fillId="8" borderId="3" xfId="0" applyFont="1" applyFill="1" applyBorder="1">
      <alignment vertical="center"/>
    </xf>
    <xf numFmtId="1" fontId="3" fillId="8" borderId="8" xfId="0" applyNumberFormat="1" applyFont="1" applyFill="1" applyBorder="1">
      <alignment vertical="center"/>
    </xf>
    <xf numFmtId="0" fontId="14" fillId="0" borderId="0" xfId="0" applyFont="1" applyAlignment="1">
      <alignment horizontal="right" vertical="center"/>
    </xf>
    <xf numFmtId="0" fontId="3" fillId="4" borderId="40" xfId="0" applyFont="1" applyFill="1" applyBorder="1" applyAlignment="1">
      <alignment horizontal="center" vertical="center"/>
    </xf>
    <xf numFmtId="178" fontId="3" fillId="0" borderId="0" xfId="0" quotePrefix="1" applyNumberFormat="1" applyFont="1" applyAlignment="1">
      <alignment horizontal="center" vertical="center"/>
    </xf>
    <xf numFmtId="0" fontId="3" fillId="4" borderId="42" xfId="0" applyFont="1" applyFill="1" applyBorder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/>
    </xf>
    <xf numFmtId="0" fontId="3" fillId="6" borderId="27" xfId="0" applyFont="1" applyFill="1" applyBorder="1">
      <alignment vertical="center"/>
    </xf>
    <xf numFmtId="0" fontId="3" fillId="6" borderId="35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78" fontId="14" fillId="0" borderId="0" xfId="0" quotePrefix="1" applyNumberFormat="1" applyFont="1">
      <alignment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left" vertical="center" indent="2"/>
    </xf>
    <xf numFmtId="0" fontId="3" fillId="6" borderId="38" xfId="0" applyFont="1" applyFill="1" applyBorder="1" applyAlignment="1">
      <alignment horizontal="left" vertical="center" indent="2"/>
    </xf>
    <xf numFmtId="0" fontId="3" fillId="6" borderId="46" xfId="0" applyFont="1" applyFill="1" applyBorder="1" applyAlignment="1">
      <alignment horizontal="left" vertical="center" indent="2"/>
    </xf>
    <xf numFmtId="0" fontId="3" fillId="6" borderId="24" xfId="0" applyFont="1" applyFill="1" applyBorder="1" applyAlignment="1">
      <alignment horizontal="left" vertical="center" indent="1"/>
    </xf>
    <xf numFmtId="0" fontId="3" fillId="6" borderId="18" xfId="0" applyFont="1" applyFill="1" applyBorder="1" applyAlignment="1">
      <alignment horizontal="left" vertical="center" indent="1"/>
    </xf>
    <xf numFmtId="0" fontId="5" fillId="6" borderId="6" xfId="0" applyFont="1" applyFill="1" applyBorder="1" applyAlignment="1">
      <alignment horizontal="left" indent="1"/>
    </xf>
    <xf numFmtId="0" fontId="5" fillId="6" borderId="21" xfId="0" applyFont="1" applyFill="1" applyBorder="1" applyAlignment="1">
      <alignment horizontal="left" indent="1"/>
    </xf>
    <xf numFmtId="0" fontId="3" fillId="6" borderId="6" xfId="0" applyFont="1" applyFill="1" applyBorder="1" applyAlignment="1">
      <alignment horizontal="left" vertical="center" indent="1"/>
    </xf>
    <xf numFmtId="0" fontId="3" fillId="6" borderId="15" xfId="0" applyFont="1" applyFill="1" applyBorder="1" applyAlignment="1">
      <alignment horizontal="left" vertical="center" indent="1"/>
    </xf>
    <xf numFmtId="0" fontId="3" fillId="6" borderId="9" xfId="0" applyFont="1" applyFill="1" applyBorder="1" applyAlignment="1">
      <alignment horizontal="left" vertical="center" indent="1"/>
    </xf>
    <xf numFmtId="0" fontId="5" fillId="5" borderId="24" xfId="0" applyFont="1" applyFill="1" applyBorder="1" applyAlignment="1" applyProtection="1">
      <alignment horizontal="left" vertical="center" indent="1"/>
      <protection hidden="1"/>
    </xf>
    <xf numFmtId="0" fontId="5" fillId="5" borderId="6" xfId="0" applyFont="1" applyFill="1" applyBorder="1" applyAlignment="1" applyProtection="1">
      <alignment horizontal="left" vertical="center" indent="1"/>
      <protection hidden="1"/>
    </xf>
    <xf numFmtId="0" fontId="5" fillId="5" borderId="9" xfId="0" applyFont="1" applyFill="1" applyBorder="1" applyAlignment="1" applyProtection="1">
      <alignment horizontal="left" vertical="center" indent="1"/>
      <protection hidden="1"/>
    </xf>
    <xf numFmtId="0" fontId="5" fillId="6" borderId="6" xfId="0" applyFont="1" applyFill="1" applyBorder="1" applyAlignment="1">
      <alignment horizontal="left" vertical="center" indent="1"/>
    </xf>
    <xf numFmtId="0" fontId="3" fillId="5" borderId="18" xfId="0" applyFont="1" applyFill="1" applyBorder="1" applyAlignment="1" applyProtection="1">
      <alignment horizontal="left" indent="1"/>
      <protection hidden="1"/>
    </xf>
    <xf numFmtId="178" fontId="3" fillId="6" borderId="1" xfId="0" quotePrefix="1" applyNumberFormat="1" applyFont="1" applyFill="1" applyBorder="1" applyAlignment="1">
      <alignment horizontal="left" vertical="center" indent="1"/>
    </xf>
    <xf numFmtId="0" fontId="3" fillId="6" borderId="1" xfId="0" applyFont="1" applyFill="1" applyBorder="1" applyAlignment="1">
      <alignment horizontal="left" vertical="center" indent="1"/>
    </xf>
    <xf numFmtId="0" fontId="4" fillId="6" borderId="4" xfId="0" applyFont="1" applyFill="1" applyBorder="1" applyAlignment="1">
      <alignment horizontal="right"/>
    </xf>
    <xf numFmtId="0" fontId="13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3" fillId="6" borderId="1" xfId="0" applyFont="1" applyFill="1" applyBorder="1">
      <alignment vertical="center"/>
    </xf>
    <xf numFmtId="1" fontId="3" fillId="8" borderId="1" xfId="0" applyNumberFormat="1" applyFont="1" applyFill="1" applyBorder="1" applyProtection="1">
      <alignment vertical="center"/>
      <protection hidden="1"/>
    </xf>
    <xf numFmtId="178" fontId="7" fillId="8" borderId="1" xfId="0" applyNumberFormat="1" applyFont="1" applyFill="1" applyBorder="1" applyAlignment="1" applyProtection="1">
      <alignment horizontal="right" vertical="center"/>
      <protection hidden="1"/>
    </xf>
    <xf numFmtId="178" fontId="3" fillId="0" borderId="14" xfId="0" applyNumberFormat="1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178" fontId="3" fillId="0" borderId="5" xfId="0" applyNumberFormat="1" applyFont="1" applyBorder="1" applyAlignment="1" applyProtection="1">
      <alignment horizontal="center" vertical="center"/>
      <protection hidden="1"/>
    </xf>
    <xf numFmtId="178" fontId="3" fillId="0" borderId="7" xfId="0" applyNumberFormat="1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179" fontId="3" fillId="0" borderId="5" xfId="0" applyNumberFormat="1" applyFont="1" applyBorder="1" applyAlignment="1" applyProtection="1">
      <alignment horizontal="center" vertical="center"/>
      <protection hidden="1"/>
    </xf>
    <xf numFmtId="179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179" fontId="3" fillId="3" borderId="5" xfId="0" applyNumberFormat="1" applyFont="1" applyFill="1" applyBorder="1" applyAlignment="1" applyProtection="1">
      <alignment horizontal="center" vertical="center"/>
      <protection hidden="1"/>
    </xf>
    <xf numFmtId="179" fontId="3" fillId="3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18" xfId="0" applyFont="1" applyFill="1" applyBorder="1" applyAlignment="1" applyProtection="1">
      <alignment horizontal="center" vertical="center"/>
      <protection hidden="1"/>
    </xf>
    <xf numFmtId="179" fontId="3" fillId="3" borderId="5" xfId="0" applyNumberFormat="1" applyFont="1" applyFill="1" applyBorder="1" applyProtection="1">
      <alignment vertical="center"/>
      <protection hidden="1"/>
    </xf>
    <xf numFmtId="179" fontId="3" fillId="3" borderId="1" xfId="0" applyNumberFormat="1" applyFont="1" applyFill="1" applyBorder="1" applyProtection="1">
      <alignment vertical="center"/>
      <protection hidden="1"/>
    </xf>
    <xf numFmtId="179" fontId="3" fillId="3" borderId="13" xfId="0" applyNumberFormat="1" applyFont="1" applyFill="1" applyBorder="1" applyProtection="1">
      <alignment vertical="center"/>
      <protection hidden="1"/>
    </xf>
    <xf numFmtId="179" fontId="3" fillId="3" borderId="3" xfId="0" applyNumberFormat="1" applyFont="1" applyFill="1" applyBorder="1" applyProtection="1">
      <alignment vertical="center"/>
      <protection hidden="1"/>
    </xf>
    <xf numFmtId="179" fontId="3" fillId="3" borderId="7" xfId="0" applyNumberFormat="1" applyFont="1" applyFill="1" applyBorder="1" applyProtection="1">
      <alignment vertical="center"/>
      <protection hidden="1"/>
    </xf>
    <xf numFmtId="179" fontId="3" fillId="3" borderId="8" xfId="0" applyNumberFormat="1" applyFont="1" applyFill="1" applyBorder="1" applyProtection="1">
      <alignment vertical="center"/>
      <protection hidden="1"/>
    </xf>
    <xf numFmtId="0" fontId="3" fillId="3" borderId="20" xfId="0" applyFont="1" applyFill="1" applyBorder="1" applyAlignment="1" applyProtection="1">
      <alignment horizontal="center" vertical="center"/>
      <protection hidden="1"/>
    </xf>
    <xf numFmtId="0" fontId="3" fillId="3" borderId="21" xfId="0" applyFont="1" applyFill="1" applyBorder="1" applyAlignment="1" applyProtection="1">
      <alignment horizontal="center" vertical="center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37" xfId="0" applyFont="1" applyFill="1" applyBorder="1" applyAlignment="1" applyProtection="1">
      <alignment horizontal="center" vertical="center"/>
      <protection hidden="1"/>
    </xf>
    <xf numFmtId="0" fontId="3" fillId="4" borderId="19" xfId="0" applyFont="1" applyFill="1" applyBorder="1" applyAlignment="1" applyProtection="1">
      <alignment horizontal="center" vertical="center"/>
      <protection hidden="1"/>
    </xf>
    <xf numFmtId="0" fontId="3" fillId="4" borderId="20" xfId="0" applyFont="1" applyFill="1" applyBorder="1" applyAlignment="1" applyProtection="1">
      <alignment horizontal="center" vertical="center"/>
      <protection hidden="1"/>
    </xf>
    <xf numFmtId="0" fontId="3" fillId="4" borderId="43" xfId="0" applyFont="1" applyFill="1" applyBorder="1" applyAlignment="1" applyProtection="1">
      <alignment horizontal="center" vertical="center"/>
      <protection hidden="1"/>
    </xf>
    <xf numFmtId="0" fontId="3" fillId="4" borderId="21" xfId="0" applyFont="1" applyFill="1" applyBorder="1" applyAlignment="1" applyProtection="1">
      <alignment horizontal="center" vertical="center"/>
      <protection hidden="1"/>
    </xf>
    <xf numFmtId="0" fontId="5" fillId="8" borderId="20" xfId="0" applyFont="1" applyFill="1" applyBorder="1" applyProtection="1">
      <alignment vertical="center"/>
      <protection locked="0"/>
    </xf>
    <xf numFmtId="0" fontId="3" fillId="6" borderId="17" xfId="0" applyFont="1" applyFill="1" applyBorder="1" applyAlignment="1">
      <alignment horizontal="left" vertical="center" indent="2"/>
    </xf>
    <xf numFmtId="0" fontId="3" fillId="6" borderId="28" xfId="0" applyFont="1" applyFill="1" applyBorder="1" applyAlignment="1">
      <alignment horizontal="left" vertical="center" indent="2"/>
    </xf>
    <xf numFmtId="0" fontId="3" fillId="6" borderId="50" xfId="0" applyFont="1" applyFill="1" applyBorder="1" applyAlignment="1">
      <alignment horizontal="left" vertical="center" indent="2"/>
    </xf>
    <xf numFmtId="0" fontId="3" fillId="5" borderId="10" xfId="0" applyFont="1" applyFill="1" applyBorder="1" applyAlignment="1" applyProtection="1">
      <alignment horizontal="left" indent="2"/>
      <protection hidden="1"/>
    </xf>
    <xf numFmtId="0" fontId="3" fillId="5" borderId="11" xfId="0" applyFont="1" applyFill="1" applyBorder="1" applyAlignment="1" applyProtection="1">
      <alignment horizontal="left" indent="2"/>
      <protection hidden="1"/>
    </xf>
    <xf numFmtId="0" fontId="3" fillId="5" borderId="49" xfId="0" applyFont="1" applyFill="1" applyBorder="1" applyAlignment="1" applyProtection="1">
      <alignment horizontal="left" indent="2"/>
      <protection hidden="1"/>
    </xf>
    <xf numFmtId="0" fontId="3" fillId="6" borderId="16" xfId="0" applyFont="1" applyFill="1" applyBorder="1" applyAlignment="1">
      <alignment horizontal="left" vertical="center" indent="2"/>
    </xf>
    <xf numFmtId="0" fontId="3" fillId="6" borderId="27" xfId="0" applyFont="1" applyFill="1" applyBorder="1" applyAlignment="1">
      <alignment horizontal="left" vertical="center" indent="2"/>
    </xf>
    <xf numFmtId="0" fontId="3" fillId="6" borderId="26" xfId="0" applyFont="1" applyFill="1" applyBorder="1" applyAlignment="1">
      <alignment horizontal="left" vertical="center" indent="2"/>
    </xf>
    <xf numFmtId="0" fontId="5" fillId="5" borderId="10" xfId="0" applyFont="1" applyFill="1" applyBorder="1" applyAlignment="1" applyProtection="1">
      <alignment horizontal="left" indent="2"/>
      <protection hidden="1"/>
    </xf>
    <xf numFmtId="0" fontId="5" fillId="5" borderId="11" xfId="0" applyFont="1" applyFill="1" applyBorder="1" applyAlignment="1" applyProtection="1">
      <alignment horizontal="left" indent="2"/>
      <protection hidden="1"/>
    </xf>
    <xf numFmtId="0" fontId="5" fillId="5" borderId="49" xfId="0" applyFont="1" applyFill="1" applyBorder="1" applyAlignment="1" applyProtection="1">
      <alignment horizontal="left" indent="2"/>
      <protection hidden="1"/>
    </xf>
    <xf numFmtId="0" fontId="5" fillId="5" borderId="16" xfId="0" applyFont="1" applyFill="1" applyBorder="1" applyAlignment="1" applyProtection="1">
      <alignment horizontal="left" indent="2"/>
      <protection hidden="1"/>
    </xf>
    <xf numFmtId="0" fontId="5" fillId="5" borderId="27" xfId="0" applyFont="1" applyFill="1" applyBorder="1" applyAlignment="1" applyProtection="1">
      <alignment horizontal="left" indent="2"/>
      <protection hidden="1"/>
    </xf>
    <xf numFmtId="0" fontId="5" fillId="5" borderId="26" xfId="0" applyFont="1" applyFill="1" applyBorder="1" applyAlignment="1" applyProtection="1">
      <alignment horizontal="left" indent="2"/>
      <protection hidden="1"/>
    </xf>
    <xf numFmtId="0" fontId="5" fillId="5" borderId="17" xfId="0" applyFont="1" applyFill="1" applyBorder="1" applyAlignment="1" applyProtection="1">
      <alignment horizontal="left" indent="2"/>
      <protection hidden="1"/>
    </xf>
    <xf numFmtId="0" fontId="5" fillId="5" borderId="28" xfId="0" applyFont="1" applyFill="1" applyBorder="1" applyAlignment="1" applyProtection="1">
      <alignment horizontal="left" indent="2"/>
      <protection hidden="1"/>
    </xf>
    <xf numFmtId="0" fontId="5" fillId="5" borderId="50" xfId="0" applyFont="1" applyFill="1" applyBorder="1" applyAlignment="1" applyProtection="1">
      <alignment horizontal="left" indent="2"/>
      <protection hidden="1"/>
    </xf>
    <xf numFmtId="0" fontId="3" fillId="6" borderId="10" xfId="0" applyFont="1" applyFill="1" applyBorder="1" applyAlignment="1">
      <alignment horizontal="left" vertical="center" indent="2"/>
    </xf>
    <xf numFmtId="0" fontId="3" fillId="6" borderId="11" xfId="0" applyFont="1" applyFill="1" applyBorder="1" applyAlignment="1">
      <alignment horizontal="left" vertical="center" indent="2"/>
    </xf>
    <xf numFmtId="0" fontId="3" fillId="6" borderId="49" xfId="0" applyFont="1" applyFill="1" applyBorder="1" applyAlignment="1">
      <alignment horizontal="left" vertical="center" indent="2"/>
    </xf>
    <xf numFmtId="0" fontId="5" fillId="6" borderId="16" xfId="0" applyFont="1" applyFill="1" applyBorder="1" applyAlignment="1">
      <alignment horizontal="left" vertical="center" indent="5"/>
    </xf>
    <xf numFmtId="0" fontId="5" fillId="6" borderId="27" xfId="0" applyFont="1" applyFill="1" applyBorder="1" applyAlignment="1">
      <alignment horizontal="left" vertical="center" indent="5"/>
    </xf>
    <xf numFmtId="0" fontId="5" fillId="6" borderId="26" xfId="0" applyFont="1" applyFill="1" applyBorder="1" applyAlignment="1">
      <alignment horizontal="left" vertical="center" indent="5"/>
    </xf>
    <xf numFmtId="0" fontId="5" fillId="6" borderId="17" xfId="0" applyFont="1" applyFill="1" applyBorder="1" applyAlignment="1">
      <alignment horizontal="left" vertical="center" indent="2"/>
    </xf>
    <xf numFmtId="0" fontId="5" fillId="6" borderId="28" xfId="0" applyFont="1" applyFill="1" applyBorder="1" applyAlignment="1">
      <alignment horizontal="left" vertical="center" indent="2"/>
    </xf>
    <xf numFmtId="0" fontId="5" fillId="6" borderId="50" xfId="0" applyFont="1" applyFill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13" fillId="10" borderId="16" xfId="0" applyFont="1" applyFill="1" applyBorder="1" applyAlignment="1">
      <alignment horizontal="left" vertical="center" indent="2"/>
    </xf>
    <xf numFmtId="0" fontId="13" fillId="10" borderId="33" xfId="0" applyFont="1" applyFill="1" applyBorder="1" applyAlignment="1">
      <alignment horizontal="left" vertical="center" indent="2"/>
    </xf>
    <xf numFmtId="0" fontId="13" fillId="10" borderId="17" xfId="0" applyFont="1" applyFill="1" applyBorder="1" applyAlignment="1">
      <alignment horizontal="left" vertical="center" indent="2"/>
    </xf>
    <xf numFmtId="0" fontId="13" fillId="10" borderId="34" xfId="0" applyFont="1" applyFill="1" applyBorder="1" applyAlignment="1">
      <alignment horizontal="left" vertical="center" indent="2"/>
    </xf>
    <xf numFmtId="0" fontId="13" fillId="11" borderId="16" xfId="0" applyFont="1" applyFill="1" applyBorder="1" applyAlignment="1">
      <alignment horizontal="left" vertical="center" indent="2"/>
    </xf>
    <xf numFmtId="0" fontId="13" fillId="11" borderId="33" xfId="0" applyFont="1" applyFill="1" applyBorder="1" applyAlignment="1">
      <alignment horizontal="left" vertical="center" indent="2"/>
    </xf>
    <xf numFmtId="0" fontId="13" fillId="7" borderId="16" xfId="0" applyFont="1" applyFill="1" applyBorder="1" applyAlignment="1">
      <alignment horizontal="left" vertical="center" indent="2"/>
    </xf>
    <xf numFmtId="0" fontId="13" fillId="7" borderId="33" xfId="0" applyFont="1" applyFill="1" applyBorder="1" applyAlignment="1">
      <alignment horizontal="left" vertical="center" indent="2"/>
    </xf>
    <xf numFmtId="178" fontId="3" fillId="4" borderId="10" xfId="0" quotePrefix="1" applyNumberFormat="1" applyFont="1" applyFill="1" applyBorder="1" applyAlignment="1">
      <alignment horizontal="center" vertical="center"/>
    </xf>
    <xf numFmtId="178" fontId="3" fillId="4" borderId="11" xfId="0" quotePrefix="1" applyNumberFormat="1" applyFont="1" applyFill="1" applyBorder="1" applyAlignment="1">
      <alignment horizontal="center" vertical="center"/>
    </xf>
    <xf numFmtId="178" fontId="3" fillId="4" borderId="12" xfId="0" quotePrefix="1" applyNumberFormat="1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left" vertical="center" indent="2"/>
    </xf>
    <xf numFmtId="0" fontId="13" fillId="7" borderId="12" xfId="0" applyFont="1" applyFill="1" applyBorder="1" applyAlignment="1">
      <alignment horizontal="left" vertical="center" indent="2"/>
    </xf>
    <xf numFmtId="0" fontId="3" fillId="4" borderId="23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78" fontId="3" fillId="4" borderId="10" xfId="0" quotePrefix="1" applyNumberFormat="1" applyFont="1" applyFill="1" applyBorder="1" applyAlignment="1">
      <alignment horizontal="center" vertical="center" wrapText="1"/>
    </xf>
    <xf numFmtId="178" fontId="3" fillId="4" borderId="11" xfId="0" quotePrefix="1" applyNumberFormat="1" applyFont="1" applyFill="1" applyBorder="1" applyAlignment="1">
      <alignment horizontal="center" vertical="center" wrapText="1"/>
    </xf>
    <xf numFmtId="178" fontId="3" fillId="4" borderId="27" xfId="0" quotePrefix="1" applyNumberFormat="1" applyFont="1" applyFill="1" applyBorder="1" applyAlignment="1">
      <alignment horizontal="center" vertical="center"/>
    </xf>
    <xf numFmtId="178" fontId="3" fillId="4" borderId="33" xfId="0" quotePrefix="1" applyNumberFormat="1" applyFont="1" applyFill="1" applyBorder="1" applyAlignment="1">
      <alignment horizontal="center" vertical="center"/>
    </xf>
    <xf numFmtId="178" fontId="3" fillId="4" borderId="47" xfId="0" quotePrefix="1" applyNumberFormat="1" applyFont="1" applyFill="1" applyBorder="1" applyAlignment="1">
      <alignment horizontal="center" vertical="center" wrapText="1"/>
    </xf>
    <xf numFmtId="178" fontId="3" fillId="4" borderId="44" xfId="0" quotePrefix="1" applyNumberFormat="1" applyFont="1" applyFill="1" applyBorder="1" applyAlignment="1">
      <alignment horizontal="center" vertical="center" wrapText="1"/>
    </xf>
    <xf numFmtId="178" fontId="3" fillId="4" borderId="16" xfId="0" quotePrefix="1" applyNumberFormat="1" applyFont="1" applyFill="1" applyBorder="1" applyAlignment="1">
      <alignment horizontal="center" vertical="center" wrapText="1"/>
    </xf>
    <xf numFmtId="178" fontId="3" fillId="4" borderId="26" xfId="0" quotePrefix="1" applyNumberFormat="1" applyFont="1" applyFill="1" applyBorder="1" applyAlignment="1">
      <alignment horizontal="center" vertical="center" wrapText="1"/>
    </xf>
    <xf numFmtId="178" fontId="3" fillId="4" borderId="15" xfId="0" quotePrefix="1" applyNumberFormat="1" applyFont="1" applyFill="1" applyBorder="1" applyAlignment="1">
      <alignment horizontal="center" vertical="center"/>
    </xf>
    <xf numFmtId="178" fontId="3" fillId="4" borderId="18" xfId="0" quotePrefix="1" applyNumberFormat="1" applyFont="1" applyFill="1" applyBorder="1" applyAlignment="1">
      <alignment horizontal="center" vertical="center"/>
    </xf>
    <xf numFmtId="178" fontId="3" fillId="4" borderId="2" xfId="0" quotePrefix="1" applyNumberFormat="1" applyFont="1" applyFill="1" applyBorder="1" applyAlignment="1">
      <alignment horizontal="center" vertical="center"/>
    </xf>
    <xf numFmtId="178" fontId="3" fillId="4" borderId="48" xfId="0" quotePrefix="1" applyNumberFormat="1" applyFont="1" applyFill="1" applyBorder="1" applyAlignment="1">
      <alignment horizontal="center" vertical="center"/>
    </xf>
    <xf numFmtId="178" fontId="3" fillId="4" borderId="41" xfId="0" quotePrefix="1" applyNumberFormat="1" applyFont="1" applyFill="1" applyBorder="1" applyAlignment="1">
      <alignment horizontal="center" vertical="center"/>
    </xf>
    <xf numFmtId="178" fontId="3" fillId="4" borderId="45" xfId="0" quotePrefix="1" applyNumberFormat="1" applyFont="1" applyFill="1" applyBorder="1" applyAlignment="1">
      <alignment horizontal="center" vertical="center"/>
    </xf>
    <xf numFmtId="178" fontId="3" fillId="4" borderId="39" xfId="0" quotePrefix="1" applyNumberFormat="1" applyFont="1" applyFill="1" applyBorder="1" applyAlignment="1">
      <alignment horizontal="center" vertical="center" wrapText="1"/>
    </xf>
    <xf numFmtId="178" fontId="3" fillId="4" borderId="46" xfId="0" quotePrefix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FFFF"/>
      <color rgb="FFFFCCFF"/>
      <color rgb="FF0066FF"/>
      <color rgb="FF0000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257820</xdr:colOff>
      <xdr:row>2</xdr:row>
      <xdr:rowOff>0</xdr:rowOff>
    </xdr:from>
    <xdr:to>
      <xdr:col>8</xdr:col>
      <xdr:colOff>957375</xdr:colOff>
      <xdr:row>12</xdr:row>
      <xdr:rowOff>245982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6838DD3-770A-4436-A9E1-4153E6FBE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3891" y="517071"/>
          <a:ext cx="1896984" cy="2831340"/>
        </a:xfrm>
        <a:prstGeom prst="rect">
          <a:avLst/>
        </a:prstGeom>
      </xdr:spPr>
    </xdr:pic>
    <xdr:clientData/>
  </xdr:twoCellAnchor>
  <xdr:twoCellAnchor>
    <xdr:from>
      <xdr:col>5</xdr:col>
      <xdr:colOff>799540</xdr:colOff>
      <xdr:row>1</xdr:row>
      <xdr:rowOff>69227</xdr:rowOff>
    </xdr:from>
    <xdr:to>
      <xdr:col>5</xdr:col>
      <xdr:colOff>1080406</xdr:colOff>
      <xdr:row>1</xdr:row>
      <xdr:rowOff>219154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17D3FA85-4533-48FC-9D89-E24E64260461}"/>
            </a:ext>
          </a:extLst>
        </xdr:cNvPr>
        <xdr:cNvCxnSpPr>
          <a:stCxn id="17" idx="1"/>
        </xdr:cNvCxnSpPr>
      </xdr:nvCxnSpPr>
      <xdr:spPr>
        <a:xfrm flipH="1">
          <a:off x="5779754" y="327763"/>
          <a:ext cx="280866" cy="14992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803449</xdr:colOff>
      <xdr:row>0</xdr:row>
      <xdr:rowOff>175613</xdr:rowOff>
    </xdr:from>
    <xdr:ext cx="2239459" cy="292452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466BC78-82D1-45F0-878D-78188A5B0B87}"/>
            </a:ext>
          </a:extLst>
        </xdr:cNvPr>
        <xdr:cNvSpPr txBox="1"/>
      </xdr:nvSpPr>
      <xdr:spPr>
        <a:xfrm>
          <a:off x="6885842" y="175613"/>
          <a:ext cx="223945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枠内に条件を入力してください。</a:t>
          </a:r>
        </a:p>
      </xdr:txBody>
    </xdr:sp>
    <xdr:clientData/>
  </xdr:oneCellAnchor>
  <xdr:twoCellAnchor>
    <xdr:from>
      <xdr:col>1</xdr:col>
      <xdr:colOff>204104</xdr:colOff>
      <xdr:row>27</xdr:row>
      <xdr:rowOff>185699</xdr:rowOff>
    </xdr:from>
    <xdr:to>
      <xdr:col>4</xdr:col>
      <xdr:colOff>258535</xdr:colOff>
      <xdr:row>30</xdr:row>
      <xdr:rowOff>12808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3EB4C919-E4A8-49F5-A0F6-7BC50E59DB2E}"/>
                </a:ext>
              </a:extLst>
            </xdr:cNvPr>
            <xdr:cNvSpPr txBox="1"/>
          </xdr:nvSpPr>
          <xdr:spPr>
            <a:xfrm>
              <a:off x="775604" y="7166163"/>
              <a:ext cx="3360967" cy="602716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800" b="0">
                  <a:latin typeface="Cambria Math" panose="02040503050406030204" pitchFamily="18" charset="0"/>
                  <a:ea typeface="Cambria Math" panose="02040503050406030204" pitchFamily="18" charset="0"/>
                </a:rPr>
                <a:t>T</a:t>
              </a:r>
              <a14:m>
                <m:oMath xmlns:m="http://schemas.openxmlformats.org/officeDocument/2006/math">
                  <m:r>
                    <a:rPr kumimoji="1" lang="en-US" altLang="ja-JP" sz="20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 </m:t>
                  </m:r>
                  <m:r>
                    <a:rPr kumimoji="1" lang="en-US" altLang="ja-JP" sz="20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kumimoji="1" lang="en-US" altLang="ja-JP" sz="200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20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kumimoji="1" lang="en-US" altLang="ja-JP" sz="20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𝑄</m:t>
                          </m:r>
                        </m:e>
                        <m:sub>
                          <m:r>
                            <a:rPr kumimoji="1" lang="en-US" altLang="ja-JP" sz="20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𝐴</m:t>
                          </m:r>
                        </m:sub>
                      </m:sSub>
                    </m:num>
                    <m:den>
                      <m:r>
                        <a:rPr kumimoji="1" lang="en-US" altLang="ja-JP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𝑈</m:t>
                      </m:r>
                      <m:r>
                        <a:rPr kumimoji="1" lang="en-US" altLang="ja-JP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r>
                        <a:rPr kumimoji="1" lang="en-US" altLang="ja-JP" sz="20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𝑆</m:t>
                      </m:r>
                    </m:den>
                  </m:f>
                </m:oMath>
              </a14:m>
              <a:r>
                <a:rPr kumimoji="1" lang="en-US" altLang="ja-JP" sz="24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kumimoji="1" lang="en-US" altLang="ja-JP" sz="18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 t</a:t>
              </a:r>
              <a:r>
                <a:rPr kumimoji="1" lang="en-US" altLang="ja-JP" sz="1800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</a:t>
              </a:r>
              <a:r>
                <a:rPr kumimoji="1" lang="ja-JP" altLang="en-US" sz="2000">
                  <a:latin typeface="Cambria Math" panose="02040503050406030204" pitchFamily="18" charset="0"/>
                  <a:ea typeface="ＭＳ 明朝" panose="02020609040205080304" pitchFamily="17" charset="-128"/>
                </a:rPr>
                <a:t>　</a:t>
              </a:r>
              <a:r>
                <a:rPr kumimoji="1" lang="en-US" altLang="ja-JP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[</a:t>
              </a:r>
              <a:r>
                <a:rPr kumimoji="1" lang="ja-JP" altLang="en-US" sz="2000">
                  <a:latin typeface="Cambria Math" panose="02040503050406030204" pitchFamily="18" charset="0"/>
                  <a:ea typeface="ＭＳ 明朝" panose="02020609040205080304" pitchFamily="17" charset="-128"/>
                </a:rPr>
                <a:t>℃</a:t>
              </a:r>
              <a:r>
                <a:rPr kumimoji="1" lang="en-US" altLang="ja-JP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]</a:t>
              </a:r>
              <a:r>
                <a:rPr kumimoji="1" lang="ja-JP" altLang="en-US" sz="2000">
                  <a:latin typeface="Cambria Math" panose="02040503050406030204" pitchFamily="18" charset="0"/>
                  <a:ea typeface="ＭＳ 明朝" panose="02020609040205080304" pitchFamily="17" charset="-128"/>
                </a:rPr>
                <a:t>　</a:t>
              </a:r>
              <a:r>
                <a:rPr kumimoji="1" lang="ja-JP" altLang="en-US" sz="1800">
                  <a:latin typeface="Cambria Math" panose="02040503050406030204" pitchFamily="18" charset="0"/>
                  <a:ea typeface="ＭＳ 明朝" panose="02020609040205080304" pitchFamily="17" charset="-128"/>
                </a:rPr>
                <a:t>　</a:t>
              </a:r>
              <a:r>
                <a:rPr kumimoji="1" lang="en-US" altLang="ja-JP" sz="1800">
                  <a:latin typeface="Cambria Math" panose="02040503050406030204" pitchFamily="18" charset="0"/>
                  <a:ea typeface="Cambria Math" panose="02040503050406030204" pitchFamily="18" charset="0"/>
                </a:rPr>
                <a:t>…(1)</a:t>
              </a:r>
              <a:endParaRPr kumimoji="1" lang="ja-JP" altLang="en-US" sz="2000">
                <a:latin typeface="Cambria Math" panose="02040503050406030204" pitchFamily="18" charset="0"/>
                <a:ea typeface="ＭＳ 明朝" panose="02020609040205080304" pitchFamily="17" charset="-128"/>
              </a:endParaRPr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3EB4C919-E4A8-49F5-A0F6-7BC50E59DB2E}"/>
                </a:ext>
              </a:extLst>
            </xdr:cNvPr>
            <xdr:cNvSpPr txBox="1"/>
          </xdr:nvSpPr>
          <xdr:spPr>
            <a:xfrm>
              <a:off x="775604" y="7166163"/>
              <a:ext cx="3360967" cy="602716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800" b="0">
                  <a:latin typeface="Cambria Math" panose="02040503050406030204" pitchFamily="18" charset="0"/>
                  <a:ea typeface="Cambria Math" panose="02040503050406030204" pitchFamily="18" charset="0"/>
                </a:rPr>
                <a:t>T</a:t>
              </a:r>
              <a:r>
                <a:rPr kumimoji="1" lang="en-US" altLang="ja-JP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=  𝑄_𝐴/(𝑈×𝑆)</a:t>
              </a:r>
              <a:r>
                <a:rPr kumimoji="1" lang="en-US" altLang="ja-JP" sz="240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kumimoji="1" lang="en-US" altLang="ja-JP" sz="18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+ t</a:t>
              </a:r>
              <a:r>
                <a:rPr kumimoji="1" lang="en-US" altLang="ja-JP" sz="1800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</a:t>
              </a:r>
              <a:r>
                <a:rPr kumimoji="1" lang="ja-JP" altLang="en-US" sz="2000">
                  <a:latin typeface="Cambria Math" panose="02040503050406030204" pitchFamily="18" charset="0"/>
                  <a:ea typeface="ＭＳ 明朝" panose="02020609040205080304" pitchFamily="17" charset="-128"/>
                </a:rPr>
                <a:t>　</a:t>
              </a:r>
              <a:r>
                <a:rPr kumimoji="1" lang="en-US" altLang="ja-JP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[</a:t>
              </a:r>
              <a:r>
                <a:rPr kumimoji="1" lang="ja-JP" altLang="en-US" sz="2000">
                  <a:latin typeface="Cambria Math" panose="02040503050406030204" pitchFamily="18" charset="0"/>
                  <a:ea typeface="ＭＳ 明朝" panose="02020609040205080304" pitchFamily="17" charset="-128"/>
                </a:rPr>
                <a:t>℃</a:t>
              </a:r>
              <a:r>
                <a:rPr kumimoji="1" lang="en-US" altLang="ja-JP" sz="2000">
                  <a:latin typeface="Cambria Math" panose="02040503050406030204" pitchFamily="18" charset="0"/>
                  <a:ea typeface="Cambria Math" panose="02040503050406030204" pitchFamily="18" charset="0"/>
                </a:rPr>
                <a:t>]</a:t>
              </a:r>
              <a:r>
                <a:rPr kumimoji="1" lang="ja-JP" altLang="en-US" sz="2000">
                  <a:latin typeface="Cambria Math" panose="02040503050406030204" pitchFamily="18" charset="0"/>
                  <a:ea typeface="ＭＳ 明朝" panose="02020609040205080304" pitchFamily="17" charset="-128"/>
                </a:rPr>
                <a:t>　</a:t>
              </a:r>
              <a:r>
                <a:rPr kumimoji="1" lang="ja-JP" altLang="en-US" sz="1800">
                  <a:latin typeface="Cambria Math" panose="02040503050406030204" pitchFamily="18" charset="0"/>
                  <a:ea typeface="ＭＳ 明朝" panose="02020609040205080304" pitchFamily="17" charset="-128"/>
                </a:rPr>
                <a:t>　</a:t>
              </a:r>
              <a:r>
                <a:rPr kumimoji="1" lang="en-US" altLang="ja-JP" sz="1800">
                  <a:latin typeface="Cambria Math" panose="02040503050406030204" pitchFamily="18" charset="0"/>
                  <a:ea typeface="Cambria Math" panose="02040503050406030204" pitchFamily="18" charset="0"/>
                </a:rPr>
                <a:t>…(1)</a:t>
              </a:r>
              <a:endParaRPr kumimoji="1" lang="ja-JP" altLang="en-US" sz="2000">
                <a:latin typeface="Cambria Math" panose="02040503050406030204" pitchFamily="18" charset="0"/>
                <a:ea typeface="ＭＳ 明朝" panose="02020609040205080304" pitchFamily="17" charset="-128"/>
              </a:endParaRPr>
            </a:p>
          </xdr:txBody>
        </xdr:sp>
      </mc:Fallback>
    </mc:AlternateContent>
    <xdr:clientData/>
  </xdr:twoCellAnchor>
  <xdr:twoCellAnchor>
    <xdr:from>
      <xdr:col>1</xdr:col>
      <xdr:colOff>44981</xdr:colOff>
      <xdr:row>43</xdr:row>
      <xdr:rowOff>81788</xdr:rowOff>
    </xdr:from>
    <xdr:to>
      <xdr:col>7</xdr:col>
      <xdr:colOff>796636</xdr:colOff>
      <xdr:row>46</xdr:row>
      <xdr:rowOff>163285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2DD941BA-12EF-415E-BA1C-6E7A83A1D186}"/>
                </a:ext>
              </a:extLst>
            </xdr:cNvPr>
            <xdr:cNvSpPr txBox="1"/>
          </xdr:nvSpPr>
          <xdr:spPr>
            <a:xfrm>
              <a:off x="616481" y="11511788"/>
              <a:ext cx="7401837" cy="860815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800" b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Q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kumimoji="1" lang="en-US" altLang="ja-JP" sz="1800" b="0" i="0" baseline="-250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v</m:t>
                  </m:r>
                  <m:r>
                    <a:rPr kumimoji="1" lang="en-US" altLang="ja-JP" sz="18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=</m:t>
                  </m:r>
                  <m:sSub>
                    <m:sSubPr>
                      <m:ctrlP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𝐶</m:t>
                      </m:r>
                    </m:e>
                    <m:sub>
                      <m: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𝑝</m:t>
                      </m:r>
                    </m:sub>
                  </m:sSub>
                  <m:r>
                    <a:rPr kumimoji="1" lang="en-US" altLang="ja-JP" sz="18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  <m:r>
                    <m:rPr>
                      <m:sty m:val="p"/>
                    </m:rPr>
                    <a:rPr kumimoji="1" lang="en-US" altLang="ja-JP" sz="18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ρ</m:t>
                  </m:r>
                  <m:r>
                    <a:rPr kumimoji="1" lang="en-US" altLang="ja-JP" sz="1800" b="0" i="1" baseline="-250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𝐸</m:t>
                  </m:r>
                  <m:r>
                    <a:rPr kumimoji="1" lang="en-US" altLang="ja-JP" sz="18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α</m:t>
                      </m:r>
                    </m:e>
                    <m:sub>
                      <m: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𝑥</m:t>
                      </m:r>
                    </m:sub>
                  </m:sSub>
                  <m:sSub>
                    <m:sSubPr>
                      <m:ctrlP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𝐴</m:t>
                      </m:r>
                    </m:e>
                    <m:sub>
                      <m: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𝑥</m:t>
                      </m:r>
                    </m:sub>
                  </m:sSub>
                  <m:r>
                    <a:rPr kumimoji="1" lang="en-US" altLang="ja-JP" sz="18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</m:oMath>
              </a14:m>
              <a:r>
                <a:rPr kumimoji="1" lang="en-US" altLang="ja-JP" sz="3200" b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kumimoji="1" lang="en-US" altLang="ja-JP" sz="2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kumimoji="1" lang="en-US" altLang="ja-JP" sz="2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2×</m:t>
                          </m:r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𝑔</m:t>
                          </m:r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×</m:t>
                          </m:r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h</m:t>
                          </m:r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×(</m:t>
                          </m:r>
                          <m:r>
                            <a:rPr kumimoji="1" lang="ja-JP" altLang="el-GR" sz="2400" b="0" i="1" u="none" strike="noStrike" kern="0" cap="none" spc="0" normalizeH="0" baseline="0" noProof="0">
                              <a:ln>
                                <a:noFill/>
                              </a:ln>
                              <a:solidFill>
                                <a:prstClr val="black"/>
                              </a:solidFill>
                              <a:effectLst/>
                              <a:uLnTx/>
                              <a:uFillTx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𝑡</m:t>
                          </m:r>
                          <m:r>
                            <a:rPr kumimoji="1" lang="en-US" altLang="ja-JP" sz="2400" b="0" i="1" u="none" strike="noStrike" kern="0" cap="none" spc="0" normalizeH="0" baseline="-25000" noProof="0">
                              <a:ln>
                                <a:noFill/>
                              </a:ln>
                              <a:solidFill>
                                <a:prstClr val="black"/>
                              </a:solidFill>
                              <a:effectLst/>
                              <a:uLnTx/>
                              <a:uFillTx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𝑖</m:t>
                          </m:r>
                          <m:r>
                            <a:rPr kumimoji="1" lang="el-GR" altLang="ja-JP" sz="2400" b="0" i="1" u="none" strike="noStrike" kern="0" cap="none" spc="0" normalizeH="0" baseline="0" noProof="0">
                              <a:ln>
                                <a:noFill/>
                              </a:ln>
                              <a:solidFill>
                                <a:prstClr val="black"/>
                              </a:solidFill>
                              <a:effectLst/>
                              <a:uLnTx/>
                              <a:uFillTx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−</m:t>
                          </m:r>
                          <m:r>
                            <a:rPr kumimoji="1" lang="ja-JP" altLang="el-GR" sz="2400" b="0" i="1" u="none" strike="noStrike" kern="0" cap="none" spc="0" normalizeH="0" baseline="0" noProof="0">
                              <a:ln>
                                <a:noFill/>
                              </a:ln>
                              <a:solidFill>
                                <a:prstClr val="black"/>
                              </a:solidFill>
                              <a:effectLst/>
                              <a:uLnTx/>
                              <a:uFillTx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𝑡</m:t>
                          </m:r>
                          <m:r>
                            <a:rPr kumimoji="1" lang="el-GR" altLang="ja-JP" sz="2400" b="0" i="1" u="none" strike="noStrike" kern="0" cap="none" spc="0" normalizeH="0" baseline="-25000" noProof="0">
                              <a:ln>
                                <a:noFill/>
                              </a:ln>
                              <a:solidFill>
                                <a:prstClr val="black"/>
                              </a:solidFill>
                              <a:effectLst/>
                              <a:uLnTx/>
                              <a:uFillTx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0</m:t>
                          </m:r>
                          <m:r>
                            <a:rPr kumimoji="1" lang="el-GR" altLang="ja-JP" sz="2400" b="0" i="1" u="none" strike="noStrike" kern="0" cap="none" spc="0" normalizeH="0" baseline="0" noProof="0">
                              <a:ln>
                                <a:noFill/>
                              </a:ln>
                              <a:solidFill>
                                <a:prstClr val="black"/>
                              </a:solidFill>
                              <a:effectLst/>
                              <a:uLnTx/>
                              <a:uFillTx/>
                              <a:latin typeface="Cambria Math" panose="02040503050406030204" pitchFamily="18" charset="0"/>
                              <a:ea typeface="Cambria Math" panose="02040503050406030204" pitchFamily="18" charset="0"/>
                              <a:cs typeface="+mn-cs"/>
                            </a:rPr>
                            <m:t>)</m:t>
                          </m:r>
                        </m:num>
                        <m:den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273.15+</m:t>
                          </m:r>
                          <m:sSub>
                            <m:sSubPr>
                              <m:ctrlPr>
                                <a:rPr kumimoji="1" lang="en-US" altLang="ja-JP" sz="24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kumimoji="1" lang="en-US" altLang="ja-JP" sz="24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𝑡</m:t>
                              </m:r>
                            </m:e>
                            <m:sub>
                              <m:r>
                                <a:rPr kumimoji="1" lang="en-US" altLang="ja-JP" sz="2400" b="0" i="1">
                                  <a:latin typeface="Cambria Math" panose="02040503050406030204" pitchFamily="18" charset="0"/>
                                  <a:ea typeface="Cambria Math" panose="02040503050406030204" pitchFamily="18" charset="0"/>
                                </a:rPr>
                                <m:t>𝑖</m:t>
                              </m:r>
                            </m:sub>
                          </m:sSub>
                        </m:den>
                      </m:f>
                    </m:e>
                  </m:rad>
                </m:oMath>
              </a14:m>
              <a:r>
                <a:rPr kumimoji="1" lang="en-US" altLang="ja-JP" sz="1800">
                  <a:latin typeface="Cambria Math" panose="02040503050406030204" pitchFamily="18" charset="0"/>
                  <a:ea typeface="Cambria Math" panose="02040503050406030204" pitchFamily="18" charset="0"/>
                </a:rPr>
                <a:t>   </a:t>
              </a:r>
              <a14:m>
                <m:oMath xmlns:m="http://schemas.openxmlformats.org/officeDocument/2006/math">
                  <m:r>
                    <a:rPr kumimoji="1" lang="en-US" altLang="ja-JP" sz="18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×(</m:t>
                  </m:r>
                  <m:sSub>
                    <m:sSubPr>
                      <m:ctrlP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𝑡</m:t>
                      </m:r>
                    </m:e>
                    <m:sub>
                      <m: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𝑡</m:t>
                      </m:r>
                    </m:sub>
                  </m:sSub>
                  <m:r>
                    <a:rPr kumimoji="1" lang="en-US" altLang="ja-JP" sz="18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−</m:t>
                  </m:r>
                  <m:r>
                    <m:rPr>
                      <m:sty m:val="p"/>
                    </m:rPr>
                    <a:rPr kumimoji="1" lang="en-US" altLang="ja-JP" sz="18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t</m:t>
                  </m:r>
                  <m:r>
                    <a:rPr kumimoji="1" lang="en-US" altLang="ja-JP" sz="1800" b="0" i="0" baseline="-2500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0</m:t>
                  </m:r>
                  <m:r>
                    <a:rPr kumimoji="1" lang="en-US" altLang="ja-JP" sz="1800" b="0" i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)×</m:t>
                  </m:r>
                  <m:r>
                    <a:rPr kumimoji="1" lang="en-US" altLang="ja-JP" sz="18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1000　</m:t>
                  </m:r>
                </m:oMath>
              </a14:m>
              <a:r>
                <a:rPr kumimoji="1" lang="en-US" altLang="ja-JP" sz="1800">
                  <a:latin typeface="Cambria Math" panose="02040503050406030204" pitchFamily="18" charset="0"/>
                  <a:ea typeface="Cambria Math" panose="02040503050406030204" pitchFamily="18" charset="0"/>
                </a:rPr>
                <a:t>[W</a:t>
              </a:r>
              <a:r>
                <a:rPr kumimoji="1" lang="en-US" altLang="ja-JP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]</a:t>
              </a:r>
              <a:r>
                <a:rPr kumimoji="1" lang="ja-JP" altLang="en-US" sz="1600">
                  <a:latin typeface="Cambria Math" panose="02040503050406030204" pitchFamily="18" charset="0"/>
                  <a:ea typeface="ＭＳ 明朝" panose="02020609040205080304" pitchFamily="17" charset="-128"/>
                </a:rPr>
                <a:t>　　</a:t>
              </a:r>
              <a:r>
                <a:rPr kumimoji="1" lang="en-US" altLang="ja-JP" sz="1800">
                  <a:latin typeface="Cambria Math" panose="02040503050406030204" pitchFamily="18" charset="0"/>
                  <a:ea typeface="Cambria Math" panose="02040503050406030204" pitchFamily="18" charset="0"/>
                </a:rPr>
                <a:t>…(2)</a:t>
              </a:r>
              <a:endParaRPr kumimoji="1" lang="ja-JP" altLang="en-US" sz="1800">
                <a:latin typeface="Cambria Math" panose="02040503050406030204" pitchFamily="18" charset="0"/>
                <a:ea typeface="ＭＳ 明朝" panose="02020609040205080304" pitchFamily="17" charset="-128"/>
              </a:endParaRPr>
            </a:p>
          </xdr:txBody>
        </xdr:sp>
      </mc:Choice>
      <mc:Fallback xmlns="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2DD941BA-12EF-415E-BA1C-6E7A83A1D186}"/>
                </a:ext>
              </a:extLst>
            </xdr:cNvPr>
            <xdr:cNvSpPr txBox="1"/>
          </xdr:nvSpPr>
          <xdr:spPr>
            <a:xfrm>
              <a:off x="616481" y="11511788"/>
              <a:ext cx="7401837" cy="860815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800" b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Q</a:t>
              </a:r>
              <a:r>
                <a:rPr kumimoji="1" lang="en-US" altLang="ja-JP" sz="1800" b="0" i="0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v</a:t>
              </a:r>
              <a:r>
                <a:rPr kumimoji="1" lang="en-US" altLang="ja-JP" sz="1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=𝐶_𝑝×ρ</a:t>
              </a:r>
              <a:r>
                <a:rPr kumimoji="1" lang="en-US" altLang="ja-JP" sz="1800" b="0" i="0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𝐸</a:t>
              </a:r>
              <a:r>
                <a:rPr kumimoji="1" lang="en-US" altLang="ja-JP" sz="1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×α_𝑥 𝐴_𝑥×</a:t>
              </a:r>
              <a:r>
                <a:rPr kumimoji="1" lang="en-US" altLang="ja-JP" sz="3200" b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kumimoji="1" lang="en-US" altLang="ja-JP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√((2×𝑔×ℎ×(</a:t>
              </a:r>
              <a:r>
                <a:rPr kumimoji="1" lang="ja-JP" altLang="el-GR" sz="2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𝑡</a:t>
              </a:r>
              <a:r>
                <a:rPr kumimoji="1" lang="en-US" altLang="ja-JP" sz="24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𝑖</a:t>
              </a:r>
              <a:r>
                <a:rPr kumimoji="1" lang="el-GR" altLang="ja-JP" sz="2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−</a:t>
              </a:r>
              <a:r>
                <a:rPr kumimoji="1" lang="ja-JP" altLang="el-GR" sz="2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𝑡</a:t>
              </a:r>
              <a:r>
                <a:rPr kumimoji="1" lang="el-GR" altLang="ja-JP" sz="2400" b="0" i="0" u="none" strike="noStrike" kern="0" cap="none" spc="0" normalizeH="0" baseline="-2500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</a:t>
              </a:r>
              <a:r>
                <a:rPr kumimoji="1" lang="el-GR" altLang="ja-JP" sz="2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kumimoji="1" lang="en-US" altLang="ja-JP" sz="24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kumimoji="1" lang="en-US" altLang="ja-JP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273.15+𝑡_𝑖</a:t>
              </a:r>
              <a:r>
                <a:rPr kumimoji="1" lang="en-US" altLang="ja-JP" sz="2400" b="0" i="0" baseline="-25000">
                  <a:latin typeface="Cambria Math" panose="02040503050406030204" pitchFamily="18" charset="0"/>
                  <a:ea typeface="Cambria Math" panose="02040503050406030204" pitchFamily="18" charset="0"/>
                </a:rPr>
                <a:t> ))</a:t>
              </a:r>
              <a:r>
                <a:rPr kumimoji="1" lang="en-US" altLang="ja-JP" sz="1800">
                  <a:latin typeface="Cambria Math" panose="02040503050406030204" pitchFamily="18" charset="0"/>
                  <a:ea typeface="Cambria Math" panose="02040503050406030204" pitchFamily="18" charset="0"/>
                </a:rPr>
                <a:t>   </a:t>
              </a:r>
              <a:r>
                <a:rPr kumimoji="1" lang="en-US" altLang="ja-JP" sz="1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×(𝑡_𝑡−t</a:t>
              </a:r>
              <a:r>
                <a:rPr kumimoji="1" lang="en-US" altLang="ja-JP" sz="1800" b="0" i="0" baseline="-2500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0</a:t>
              </a:r>
              <a:r>
                <a:rPr kumimoji="1" lang="en-US" altLang="ja-JP" sz="1800" b="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)×1000　</a:t>
              </a:r>
              <a:r>
                <a:rPr kumimoji="1" lang="en-US" altLang="ja-JP" sz="1800">
                  <a:latin typeface="Cambria Math" panose="02040503050406030204" pitchFamily="18" charset="0"/>
                  <a:ea typeface="Cambria Math" panose="02040503050406030204" pitchFamily="18" charset="0"/>
                </a:rPr>
                <a:t>[W</a:t>
              </a:r>
              <a:r>
                <a:rPr kumimoji="1" lang="en-US" altLang="ja-JP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]</a:t>
              </a:r>
              <a:r>
                <a:rPr kumimoji="1" lang="ja-JP" altLang="en-US" sz="1600">
                  <a:latin typeface="Cambria Math" panose="02040503050406030204" pitchFamily="18" charset="0"/>
                  <a:ea typeface="ＭＳ 明朝" panose="02020609040205080304" pitchFamily="17" charset="-128"/>
                </a:rPr>
                <a:t>　　</a:t>
              </a:r>
              <a:r>
                <a:rPr kumimoji="1" lang="en-US" altLang="ja-JP" sz="1800">
                  <a:latin typeface="Cambria Math" panose="02040503050406030204" pitchFamily="18" charset="0"/>
                  <a:ea typeface="Cambria Math" panose="02040503050406030204" pitchFamily="18" charset="0"/>
                </a:rPr>
                <a:t>…(2)</a:t>
              </a:r>
              <a:endParaRPr kumimoji="1" lang="ja-JP" altLang="en-US" sz="1800">
                <a:latin typeface="Cambria Math" panose="02040503050406030204" pitchFamily="18" charset="0"/>
                <a:ea typeface="ＭＳ 明朝" panose="02020609040205080304" pitchFamily="17" charset="-128"/>
              </a:endParaRPr>
            </a:p>
          </xdr:txBody>
        </xdr:sp>
      </mc:Fallback>
    </mc:AlternateContent>
    <xdr:clientData/>
  </xdr:twoCellAnchor>
  <xdr:twoCellAnchor>
    <xdr:from>
      <xdr:col>1</xdr:col>
      <xdr:colOff>137612</xdr:colOff>
      <xdr:row>53</xdr:row>
      <xdr:rowOff>27214</xdr:rowOff>
    </xdr:from>
    <xdr:to>
      <xdr:col>4</xdr:col>
      <xdr:colOff>1056409</xdr:colOff>
      <xdr:row>56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A03FDF1-FEC7-451D-A3EB-9D9AF48A39D1}"/>
                </a:ext>
              </a:extLst>
            </xdr:cNvPr>
            <xdr:cNvSpPr txBox="1"/>
          </xdr:nvSpPr>
          <xdr:spPr>
            <a:xfrm>
              <a:off x="709112" y="14054941"/>
              <a:ext cx="4243888" cy="752104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800" b="0">
                  <a:ea typeface="Cambria Math" panose="02040503050406030204" pitchFamily="18" charset="0"/>
                </a:rPr>
                <a:t>Q</a:t>
              </a:r>
              <a:r>
                <a:rPr kumimoji="1" lang="en-US" altLang="ja-JP" sz="1800" b="0" baseline="-25000">
                  <a:ea typeface="Cambria Math" panose="02040503050406030204" pitchFamily="18" charset="0"/>
                </a:rPr>
                <a:t>K</a:t>
              </a:r>
              <a:r>
                <a:rPr kumimoji="1" lang="ja-JP" altLang="en-US" sz="2000" b="0">
                  <a:ea typeface="Cambria Math" panose="02040503050406030204" pitchFamily="18" charset="0"/>
                </a:rPr>
                <a:t>　</a:t>
              </a:r>
              <a:r>
                <a:rPr kumimoji="1" lang="en-US" altLang="ja-JP" sz="2000" b="0">
                  <a:ea typeface="Cambria Math" panose="02040503050406030204" pitchFamily="18" charset="0"/>
                </a:rPr>
                <a:t>=</a:t>
              </a:r>
              <a14:m>
                <m:oMath xmlns:m="http://schemas.openxmlformats.org/officeDocument/2006/math">
                  <m:r>
                    <a:rPr kumimoji="1" lang="ja-JP" altLang="en-US" sz="24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kumimoji="1" lang="en-US" altLang="ja-JP" sz="2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kumimoji="1" lang="en-US" altLang="ja-JP" sz="2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𝐶</m:t>
                          </m:r>
                        </m:e>
                        <m:sub>
                          <m:r>
                            <a:rPr kumimoji="1" lang="en-US" altLang="ja-JP" sz="24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𝑝</m:t>
                          </m:r>
                        </m:sub>
                      </m:sSub>
                      <m:r>
                        <a:rPr kumimoji="1" lang="el-GR" altLang="ja-JP" sz="2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r>
                        <a:rPr kumimoji="1" lang="el-GR" altLang="ja-JP" sz="2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𝜌</m:t>
                      </m:r>
                      <m:r>
                        <a:rPr kumimoji="1" lang="ja-JP" altLang="el-GR" sz="2400" b="0" i="1" baseline="-2500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𝐸</m:t>
                      </m:r>
                      <m:r>
                        <a:rPr kumimoji="1" lang="el-GR" altLang="ja-JP" sz="2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×(</m:t>
                      </m:r>
                      <m:r>
                        <a:rPr kumimoji="1" lang="ja-JP" altLang="el-GR" sz="2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𝑡</m:t>
                      </m:r>
                      <m:r>
                        <a:rPr kumimoji="1" lang="en-US" altLang="ja-JP" sz="2400" b="0" i="1" baseline="-2500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𝑖</m:t>
                      </m:r>
                      <m:r>
                        <a:rPr kumimoji="1" lang="el-GR" altLang="ja-JP" sz="2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−</m:t>
                      </m:r>
                      <m:r>
                        <a:rPr kumimoji="1" lang="ja-JP" altLang="el-GR" sz="2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𝑡</m:t>
                      </m:r>
                      <m:r>
                        <a:rPr kumimoji="1" lang="el-GR" altLang="ja-JP" sz="2400" b="0" i="1" baseline="-2500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0</m:t>
                      </m:r>
                      <m:r>
                        <a:rPr kumimoji="1" lang="el-GR" altLang="ja-JP" sz="2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)×</m:t>
                      </m:r>
                      <m:r>
                        <a:rPr kumimoji="1" lang="en-US" altLang="ja-JP" sz="2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𝑥</m:t>
                      </m:r>
                    </m:num>
                    <m:den>
                      <m:r>
                        <a:rPr kumimoji="1" lang="en-US" altLang="ja-JP" sz="24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0.06</m:t>
                      </m:r>
                    </m:den>
                  </m:f>
                </m:oMath>
              </a14:m>
              <a:r>
                <a:rPr kumimoji="1" lang="ja-JP" altLang="en-US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　</a:t>
              </a:r>
              <a14:m>
                <m:oMath xmlns:m="http://schemas.openxmlformats.org/officeDocument/2006/math">
                  <m:r>
                    <a:rPr kumimoji="1" lang="en-US" altLang="ja-JP" sz="1800" b="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𝑊</m:t>
                      </m:r>
                    </m:e>
                    <m:sub>
                      <m:r>
                        <a:rPr kumimoji="1" lang="en-US" altLang="ja-JP" sz="1800" b="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𝐾</m:t>
                      </m:r>
                    </m:sub>
                  </m:sSub>
                </m:oMath>
              </a14:m>
              <a:r>
                <a:rPr kumimoji="1" lang="en-US" altLang="ja-JP" sz="1800">
                  <a:latin typeface="Cambria Math" panose="02040503050406030204" pitchFamily="18" charset="0"/>
                  <a:ea typeface="Cambria Math" panose="02040503050406030204" pitchFamily="18" charset="0"/>
                </a:rPr>
                <a:t> [W]</a:t>
              </a:r>
              <a:r>
                <a:rPr kumimoji="1" lang="ja-JP" altLang="en-US" sz="1400">
                  <a:latin typeface="Cambria Math" panose="02040503050406030204" pitchFamily="18" charset="0"/>
                  <a:ea typeface="ＭＳ 明朝" panose="02020609040205080304" pitchFamily="17" charset="-128"/>
                </a:rPr>
                <a:t>　</a:t>
              </a:r>
              <a:r>
                <a:rPr kumimoji="1" lang="ja-JP" altLang="en-US" sz="1600">
                  <a:latin typeface="Cambria Math" panose="02040503050406030204" pitchFamily="18" charset="0"/>
                  <a:ea typeface="ＭＳ 明朝" panose="02020609040205080304" pitchFamily="17" charset="-128"/>
                </a:rPr>
                <a:t>　</a:t>
              </a:r>
              <a:r>
                <a:rPr kumimoji="1" lang="en-US" altLang="ja-JP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…(3)</a:t>
              </a:r>
              <a:endParaRPr kumimoji="1" lang="ja-JP" altLang="en-US" sz="1600">
                <a:latin typeface="Cambria Math" panose="02040503050406030204" pitchFamily="18" charset="0"/>
                <a:ea typeface="ＭＳ 明朝" panose="02020609040205080304" pitchFamily="17" charset="-128"/>
              </a:endParaRPr>
            </a:p>
          </xdr:txBody>
        </xdr:sp>
      </mc:Choice>
      <mc:Fallback xmlns=""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A03FDF1-FEC7-451D-A3EB-9D9AF48A39D1}"/>
                </a:ext>
              </a:extLst>
            </xdr:cNvPr>
            <xdr:cNvSpPr txBox="1"/>
          </xdr:nvSpPr>
          <xdr:spPr>
            <a:xfrm>
              <a:off x="709112" y="14054941"/>
              <a:ext cx="4243888" cy="752104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kumimoji="1" lang="en-US" altLang="ja-JP" sz="1800" b="0">
                  <a:ea typeface="Cambria Math" panose="02040503050406030204" pitchFamily="18" charset="0"/>
                </a:rPr>
                <a:t>Q</a:t>
              </a:r>
              <a:r>
                <a:rPr kumimoji="1" lang="en-US" altLang="ja-JP" sz="1800" b="0" baseline="-25000">
                  <a:ea typeface="Cambria Math" panose="02040503050406030204" pitchFamily="18" charset="0"/>
                </a:rPr>
                <a:t>K</a:t>
              </a:r>
              <a:r>
                <a:rPr kumimoji="1" lang="ja-JP" altLang="en-US" sz="2000" b="0">
                  <a:ea typeface="Cambria Math" panose="02040503050406030204" pitchFamily="18" charset="0"/>
                </a:rPr>
                <a:t>　</a:t>
              </a:r>
              <a:r>
                <a:rPr kumimoji="1" lang="en-US" altLang="ja-JP" sz="2000" b="0">
                  <a:ea typeface="Cambria Math" panose="02040503050406030204" pitchFamily="18" charset="0"/>
                </a:rPr>
                <a:t>=</a:t>
              </a:r>
              <a:r>
                <a:rPr kumimoji="1" lang="ja-JP" altLang="en-US" sz="24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kumimoji="1" lang="en-US" altLang="ja-JP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(𝐶_𝑝</a:t>
              </a:r>
              <a:r>
                <a:rPr kumimoji="1" lang="el-GR" altLang="ja-JP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×𝜌</a:t>
              </a:r>
              <a:r>
                <a:rPr kumimoji="1" lang="ja-JP" altLang="el-GR" sz="2400" b="0" i="0" baseline="-25000">
                  <a:latin typeface="Cambria Math" panose="02040503050406030204" pitchFamily="18" charset="0"/>
                  <a:ea typeface="Cambria Math" panose="02040503050406030204" pitchFamily="18" charset="0"/>
                </a:rPr>
                <a:t>𝐸</a:t>
              </a:r>
              <a:r>
                <a:rPr kumimoji="1" lang="el-GR" altLang="ja-JP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</a:t>
              </a:r>
              <a:r>
                <a:rPr kumimoji="1" lang="ja-JP" altLang="el-GR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𝑡</a:t>
              </a:r>
              <a:r>
                <a:rPr kumimoji="1" lang="en-US" altLang="ja-JP" sz="2400" b="0" i="0" baseline="-25000">
                  <a:latin typeface="Cambria Math" panose="02040503050406030204" pitchFamily="18" charset="0"/>
                  <a:ea typeface="Cambria Math" panose="02040503050406030204" pitchFamily="18" charset="0"/>
                </a:rPr>
                <a:t>𝑖</a:t>
              </a:r>
              <a:r>
                <a:rPr kumimoji="1" lang="el-GR" altLang="ja-JP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</a:t>
              </a:r>
              <a:r>
                <a:rPr kumimoji="1" lang="ja-JP" altLang="el-GR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𝑡</a:t>
              </a:r>
              <a:r>
                <a:rPr kumimoji="1" lang="el-GR" altLang="ja-JP" sz="2400" b="0" i="0" baseline="-25000">
                  <a:latin typeface="Cambria Math" panose="02040503050406030204" pitchFamily="18" charset="0"/>
                  <a:ea typeface="Cambria Math" panose="02040503050406030204" pitchFamily="18" charset="0"/>
                </a:rPr>
                <a:t>0</a:t>
              </a:r>
              <a:r>
                <a:rPr kumimoji="1" lang="el-GR" altLang="ja-JP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)×</a:t>
              </a:r>
              <a:r>
                <a:rPr kumimoji="1" lang="en-US" altLang="ja-JP" sz="2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𝑥)/0.06</a:t>
              </a:r>
              <a:r>
                <a:rPr kumimoji="1" lang="ja-JP" altLang="en-US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　</a:t>
              </a:r>
              <a:r>
                <a:rPr kumimoji="1" lang="en-US" altLang="ja-JP" sz="18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×𝑊_𝐾</a:t>
              </a:r>
              <a:r>
                <a:rPr kumimoji="1" lang="en-US" altLang="ja-JP" sz="1800">
                  <a:latin typeface="Cambria Math" panose="02040503050406030204" pitchFamily="18" charset="0"/>
                  <a:ea typeface="Cambria Math" panose="02040503050406030204" pitchFamily="18" charset="0"/>
                </a:rPr>
                <a:t> [W]</a:t>
              </a:r>
              <a:r>
                <a:rPr kumimoji="1" lang="ja-JP" altLang="en-US" sz="1400">
                  <a:latin typeface="Cambria Math" panose="02040503050406030204" pitchFamily="18" charset="0"/>
                  <a:ea typeface="ＭＳ 明朝" panose="02020609040205080304" pitchFamily="17" charset="-128"/>
                </a:rPr>
                <a:t>　</a:t>
              </a:r>
              <a:r>
                <a:rPr kumimoji="1" lang="ja-JP" altLang="en-US" sz="1600">
                  <a:latin typeface="Cambria Math" panose="02040503050406030204" pitchFamily="18" charset="0"/>
                  <a:ea typeface="ＭＳ 明朝" panose="02020609040205080304" pitchFamily="17" charset="-128"/>
                </a:rPr>
                <a:t>　</a:t>
              </a:r>
              <a:r>
                <a:rPr kumimoji="1" lang="en-US" altLang="ja-JP" sz="1600">
                  <a:latin typeface="Cambria Math" panose="02040503050406030204" pitchFamily="18" charset="0"/>
                  <a:ea typeface="Cambria Math" panose="02040503050406030204" pitchFamily="18" charset="0"/>
                </a:rPr>
                <a:t>…(3)</a:t>
              </a:r>
              <a:endParaRPr kumimoji="1" lang="ja-JP" altLang="en-US" sz="1600">
                <a:latin typeface="Cambria Math" panose="02040503050406030204" pitchFamily="18" charset="0"/>
                <a:ea typeface="ＭＳ 明朝" panose="02020609040205080304" pitchFamily="17" charset="-128"/>
              </a:endParaRPr>
            </a:p>
          </xdr:txBody>
        </xdr:sp>
      </mc:Fallback>
    </mc:AlternateContent>
    <xdr:clientData/>
  </xdr:twoCellAnchor>
  <xdr:twoCellAnchor>
    <xdr:from>
      <xdr:col>5</xdr:col>
      <xdr:colOff>1080406</xdr:colOff>
      <xdr:row>0</xdr:row>
      <xdr:rowOff>210911</xdr:rowOff>
    </xdr:from>
    <xdr:to>
      <xdr:col>6</xdr:col>
      <xdr:colOff>733161</xdr:colOff>
      <xdr:row>1</xdr:row>
      <xdr:rowOff>156142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5AC5A698-4362-474F-8BB9-C1C51CDDEC19}"/>
            </a:ext>
          </a:extLst>
        </xdr:cNvPr>
        <xdr:cNvSpPr/>
      </xdr:nvSpPr>
      <xdr:spPr>
        <a:xfrm>
          <a:off x="6060620" y="210911"/>
          <a:ext cx="754934" cy="203767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13</xdr:col>
      <xdr:colOff>304304</xdr:colOff>
      <xdr:row>0</xdr:row>
      <xdr:rowOff>164376</xdr:rowOff>
    </xdr:from>
    <xdr:to>
      <xdr:col>19</xdr:col>
      <xdr:colOff>286987</xdr:colOff>
      <xdr:row>19</xdr:row>
      <xdr:rowOff>254901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130080D-1B57-435D-B60B-1ABEE10AA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37077" y="164376"/>
          <a:ext cx="4623955" cy="5026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10277-C9C4-4776-AE26-173D986A648C}">
  <dimension ref="A1:AB99"/>
  <sheetViews>
    <sheetView view="pageBreakPreview" topLeftCell="A6" zoomScale="70" zoomScaleNormal="70" zoomScaleSheetLayoutView="70" zoomScalePageLayoutView="40" workbookViewId="0">
      <selection activeCell="G31" sqref="G31"/>
    </sheetView>
  </sheetViews>
  <sheetFormatPr defaultRowHeight="14.25"/>
  <cols>
    <col min="1" max="1" width="7.5" style="1" customWidth="1"/>
    <col min="2" max="9" width="15.625" style="1" customWidth="1"/>
    <col min="10" max="10" width="7.5" style="1" customWidth="1"/>
    <col min="11" max="16" width="9.375" style="1" customWidth="1"/>
    <col min="17" max="17" width="14.375" style="1" customWidth="1"/>
    <col min="18" max="26" width="9.375" style="1" customWidth="1"/>
    <col min="27" max="27" width="18.25" style="1" customWidth="1"/>
    <col min="28" max="28" width="2" style="1" hidden="1" customWidth="1"/>
    <col min="29" max="29" width="18.25" style="1" customWidth="1"/>
    <col min="30" max="30" width="17.875" style="1" customWidth="1"/>
    <col min="31" max="34" width="10.625" style="1" customWidth="1"/>
    <col min="35" max="36" width="9" style="1" customWidth="1"/>
    <col min="37" max="37" width="5.125" style="1" customWidth="1"/>
    <col min="38" max="38" width="20.25" style="1" customWidth="1"/>
    <col min="39" max="16384" width="9" style="1"/>
  </cols>
  <sheetData>
    <row r="1" spans="1:24" ht="20.25" customHeight="1"/>
    <row r="2" spans="1:24" ht="20.25" customHeight="1" thickBot="1">
      <c r="A2" s="39" t="s">
        <v>66</v>
      </c>
      <c r="G2" s="2"/>
    </row>
    <row r="3" spans="1:24" ht="20.25" customHeight="1">
      <c r="B3" s="140" t="s">
        <v>127</v>
      </c>
      <c r="C3" s="141"/>
      <c r="D3" s="141"/>
      <c r="E3" s="142"/>
      <c r="F3" s="34" t="s">
        <v>146</v>
      </c>
      <c r="G3" s="74" t="s">
        <v>36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20.25" customHeight="1">
      <c r="B4" s="71" t="s">
        <v>110</v>
      </c>
      <c r="C4" s="72"/>
      <c r="D4" s="72"/>
      <c r="E4" s="73"/>
      <c r="F4" s="88"/>
      <c r="G4" s="75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ht="20.25" customHeight="1">
      <c r="B5" s="143" t="s">
        <v>111</v>
      </c>
      <c r="C5" s="144"/>
      <c r="D5" s="144"/>
      <c r="E5" s="145"/>
      <c r="F5" s="3">
        <v>1400</v>
      </c>
      <c r="G5" s="76" t="s">
        <v>1</v>
      </c>
      <c r="H5" s="36"/>
      <c r="I5" s="36"/>
      <c r="J5" s="36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ht="20.25" customHeight="1">
      <c r="B6" s="143" t="s">
        <v>109</v>
      </c>
      <c r="C6" s="144"/>
      <c r="D6" s="144"/>
      <c r="E6" s="145"/>
      <c r="F6" s="3">
        <v>2100</v>
      </c>
      <c r="G6" s="76" t="s">
        <v>0</v>
      </c>
      <c r="H6" s="36"/>
      <c r="I6" s="36"/>
      <c r="J6" s="36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20.25" customHeight="1">
      <c r="B7" s="143" t="s">
        <v>108</v>
      </c>
      <c r="C7" s="144"/>
      <c r="D7" s="144"/>
      <c r="E7" s="145"/>
      <c r="F7" s="3">
        <v>800</v>
      </c>
      <c r="G7" s="76" t="s">
        <v>0</v>
      </c>
      <c r="H7" s="36"/>
      <c r="I7" s="36"/>
      <c r="J7" s="36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4" ht="20.25" customHeight="1" thickBot="1">
      <c r="B8" s="146" t="s">
        <v>87</v>
      </c>
      <c r="C8" s="147"/>
      <c r="D8" s="147"/>
      <c r="E8" s="148"/>
      <c r="F8" s="121">
        <f>IF(F3="A",(2*F6*(F5+F7)+F5*F7)/1000000,IF(F3="B",(F5*(F6+F7)+2*F7*F6)/1000000,IF(F3="C",(F7*(F6+F5)+2*F5*F6)/1000000,IF(F3="D",(F6*(F5+F7)+F5*F7)/1000000,IF(F3="E",(2*F5*F6+F5*F7)/1000000,IF(F3="F",(F5*(F6+F7))/1000000,IF(F3="G",((F6*F5*2)+(F6*F7*2)+(F5*F7*2))/1000000,IF(F3="H",((F6*F5)+(F6*F7*2)+(F5*F7*2))/1000000,"入力ミス"))))))))</f>
        <v>10.36</v>
      </c>
      <c r="G8" s="77" t="s">
        <v>72</v>
      </c>
      <c r="H8" s="36"/>
      <c r="I8" s="36"/>
      <c r="J8" s="36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4" ht="20.25" customHeight="1">
      <c r="B9" s="140" t="s">
        <v>102</v>
      </c>
      <c r="C9" s="141"/>
      <c r="D9" s="141"/>
      <c r="E9" s="142"/>
      <c r="F9" s="41">
        <v>600</v>
      </c>
      <c r="G9" s="74" t="s">
        <v>7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20.25" customHeight="1">
      <c r="B10" s="128" t="s">
        <v>128</v>
      </c>
      <c r="C10" s="129"/>
      <c r="D10" s="129"/>
      <c r="E10" s="130"/>
      <c r="F10" s="4">
        <v>0</v>
      </c>
      <c r="G10" s="78" t="s">
        <v>7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20.25" customHeight="1">
      <c r="B11" s="128" t="s">
        <v>129</v>
      </c>
      <c r="C11" s="129"/>
      <c r="D11" s="129"/>
      <c r="E11" s="130"/>
      <c r="F11" s="4">
        <v>0</v>
      </c>
      <c r="G11" s="78" t="s">
        <v>7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20.25" customHeight="1">
      <c r="B12" s="128" t="s">
        <v>118</v>
      </c>
      <c r="C12" s="129"/>
      <c r="D12" s="129"/>
      <c r="E12" s="130"/>
      <c r="F12" s="55">
        <f>SUM(F9:F11)</f>
        <v>600</v>
      </c>
      <c r="G12" s="79" t="s">
        <v>112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20.25" customHeight="1" thickBot="1">
      <c r="B13" s="122" t="s">
        <v>97</v>
      </c>
      <c r="C13" s="123"/>
      <c r="D13" s="123"/>
      <c r="E13" s="124"/>
      <c r="F13" s="56">
        <f>F20*F8*(F16-F15)</f>
        <v>518</v>
      </c>
      <c r="G13" s="80" t="s">
        <v>7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4" ht="20.25" customHeight="1">
      <c r="B14" s="131" t="s">
        <v>114</v>
      </c>
      <c r="C14" s="132"/>
      <c r="D14" s="132"/>
      <c r="E14" s="133"/>
      <c r="F14" s="42">
        <v>50</v>
      </c>
      <c r="G14" s="81" t="s">
        <v>4</v>
      </c>
      <c r="H14" s="37"/>
      <c r="I14" s="37"/>
      <c r="J14" s="37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4" ht="20.25" customHeight="1">
      <c r="B15" s="134" t="s">
        <v>115</v>
      </c>
      <c r="C15" s="135"/>
      <c r="D15" s="135"/>
      <c r="E15" s="136"/>
      <c r="F15" s="5">
        <v>30</v>
      </c>
      <c r="G15" s="82" t="s">
        <v>4</v>
      </c>
      <c r="H15" s="37" t="s">
        <v>83</v>
      </c>
      <c r="I15" s="37"/>
      <c r="J15" s="37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ht="20.25" customHeight="1" thickBot="1">
      <c r="B16" s="137" t="s">
        <v>101</v>
      </c>
      <c r="C16" s="138"/>
      <c r="D16" s="138"/>
      <c r="E16" s="139"/>
      <c r="F16" s="43">
        <f>(F14+F15)/2</f>
        <v>40</v>
      </c>
      <c r="G16" s="83" t="s">
        <v>4</v>
      </c>
      <c r="H16" s="37" t="s">
        <v>84</v>
      </c>
      <c r="I16" s="37"/>
      <c r="J16" s="37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7" ht="20.25" customHeight="1">
      <c r="B17" s="131" t="s">
        <v>28</v>
      </c>
      <c r="C17" s="132"/>
      <c r="D17" s="132"/>
      <c r="E17" s="133"/>
      <c r="F17" s="42">
        <v>1.5</v>
      </c>
      <c r="G17" s="81" t="s">
        <v>2</v>
      </c>
      <c r="H17" s="37"/>
      <c r="I17" s="37"/>
      <c r="J17" s="37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7" ht="20.25" customHeight="1">
      <c r="B18" s="128" t="s">
        <v>6</v>
      </c>
      <c r="C18" s="129"/>
      <c r="D18" s="129"/>
      <c r="E18" s="130"/>
      <c r="F18" s="6">
        <v>1.5</v>
      </c>
      <c r="G18" s="84" t="s">
        <v>29</v>
      </c>
      <c r="H18" s="19"/>
      <c r="I18" s="19"/>
      <c r="J18" s="19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7" ht="20.25" customHeight="1" thickBot="1">
      <c r="B19" s="122" t="s">
        <v>75</v>
      </c>
      <c r="C19" s="123"/>
      <c r="D19" s="123"/>
      <c r="E19" s="124"/>
      <c r="F19" s="45">
        <v>1</v>
      </c>
      <c r="G19" s="80" t="s">
        <v>29</v>
      </c>
      <c r="H19" s="40" t="s">
        <v>116</v>
      </c>
      <c r="I19" s="14"/>
      <c r="J19" s="14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7" ht="20.25" customHeight="1">
      <c r="B20" s="125" t="s">
        <v>5</v>
      </c>
      <c r="C20" s="126"/>
      <c r="D20" s="126"/>
      <c r="E20" s="127"/>
      <c r="F20" s="44">
        <v>5</v>
      </c>
      <c r="G20" s="85" t="s">
        <v>3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7" ht="20.25" customHeight="1">
      <c r="B21" s="128" t="s">
        <v>103</v>
      </c>
      <c r="C21" s="129"/>
      <c r="D21" s="129"/>
      <c r="E21" s="130"/>
      <c r="F21" s="7">
        <v>1.018</v>
      </c>
      <c r="G21" s="78" t="s">
        <v>104</v>
      </c>
      <c r="H21" s="38" t="s">
        <v>68</v>
      </c>
      <c r="I21" s="38"/>
      <c r="J21" s="38"/>
      <c r="K21" s="17"/>
      <c r="L21" s="17"/>
      <c r="M21" s="17"/>
      <c r="O21" s="1" t="s">
        <v>44</v>
      </c>
      <c r="R21" s="17"/>
      <c r="S21" s="17"/>
      <c r="T21" s="17"/>
      <c r="U21" s="17"/>
      <c r="V21" s="26"/>
      <c r="W21" s="26"/>
      <c r="X21" s="26"/>
    </row>
    <row r="22" spans="1:27" ht="20.25" customHeight="1" thickBot="1">
      <c r="B22" s="122" t="s">
        <v>98</v>
      </c>
      <c r="C22" s="123"/>
      <c r="D22" s="123"/>
      <c r="E22" s="124"/>
      <c r="F22" s="35">
        <v>1.1539999999999999</v>
      </c>
      <c r="G22" s="80" t="s">
        <v>105</v>
      </c>
      <c r="H22" s="38" t="s">
        <v>67</v>
      </c>
      <c r="I22" s="38"/>
      <c r="J22" s="38"/>
      <c r="K22" s="18"/>
      <c r="L22" s="18"/>
      <c r="M22" s="18"/>
      <c r="N22" s="12" t="s">
        <v>45</v>
      </c>
      <c r="O22" s="149" t="s">
        <v>131</v>
      </c>
      <c r="P22" s="149"/>
      <c r="Q22" s="149"/>
      <c r="R22" s="150" t="s">
        <v>54</v>
      </c>
      <c r="S22" s="150"/>
      <c r="T22" s="150"/>
      <c r="U22" s="150"/>
      <c r="V22" s="26"/>
      <c r="W22" s="26"/>
      <c r="X22" s="26"/>
      <c r="Y22" s="26"/>
    </row>
    <row r="23" spans="1:27" ht="20.25" customHeight="1">
      <c r="A23" s="39"/>
      <c r="B23" s="90" t="s">
        <v>147</v>
      </c>
      <c r="C23" s="53"/>
      <c r="D23" s="53"/>
      <c r="E23" s="53"/>
      <c r="F23" s="53"/>
      <c r="I23" s="38"/>
      <c r="J23" s="38"/>
      <c r="K23" s="8"/>
      <c r="L23" s="8"/>
      <c r="M23" s="8"/>
      <c r="N23" s="12" t="s">
        <v>46</v>
      </c>
      <c r="O23" s="149" t="s">
        <v>132</v>
      </c>
      <c r="P23" s="149"/>
      <c r="Q23" s="149"/>
      <c r="R23" s="150" t="s">
        <v>55</v>
      </c>
      <c r="S23" s="150"/>
      <c r="T23" s="150"/>
      <c r="U23" s="150"/>
      <c r="V23" s="26"/>
      <c r="W23" s="26"/>
      <c r="X23" s="26"/>
      <c r="Y23" s="26"/>
    </row>
    <row r="24" spans="1:27" ht="20.25" customHeight="1">
      <c r="A24" s="39"/>
      <c r="B24" s="89"/>
      <c r="C24" s="53"/>
      <c r="D24" s="53"/>
      <c r="E24" s="53"/>
      <c r="F24" s="53"/>
      <c r="I24" s="38"/>
      <c r="J24" s="38"/>
      <c r="K24" s="17"/>
      <c r="L24" s="17"/>
      <c r="M24" s="17"/>
      <c r="N24" s="12" t="s">
        <v>47</v>
      </c>
      <c r="O24" s="149" t="s">
        <v>133</v>
      </c>
      <c r="P24" s="149"/>
      <c r="Q24" s="149"/>
      <c r="R24" s="150" t="s">
        <v>56</v>
      </c>
      <c r="S24" s="150"/>
      <c r="T24" s="150"/>
      <c r="U24" s="150"/>
      <c r="V24" s="13"/>
      <c r="W24" s="13"/>
      <c r="X24" s="13"/>
      <c r="Y24" s="13"/>
    </row>
    <row r="25" spans="1:27" ht="20.25" customHeight="1">
      <c r="A25" s="39" t="s">
        <v>117</v>
      </c>
      <c r="K25" s="8"/>
      <c r="L25" s="8"/>
      <c r="M25" s="8"/>
      <c r="N25" s="12" t="s">
        <v>48</v>
      </c>
      <c r="O25" s="149" t="s">
        <v>134</v>
      </c>
      <c r="P25" s="149"/>
      <c r="Q25" s="149"/>
      <c r="R25" s="150" t="s">
        <v>57</v>
      </c>
      <c r="S25" s="150"/>
      <c r="T25" s="150"/>
      <c r="U25" s="150"/>
      <c r="V25" s="19"/>
      <c r="W25" s="19"/>
      <c r="X25" s="19"/>
      <c r="Y25" s="19"/>
    </row>
    <row r="26" spans="1:27" ht="20.25" customHeight="1">
      <c r="A26" s="57" t="s">
        <v>69</v>
      </c>
      <c r="B26" s="39" t="s">
        <v>73</v>
      </c>
      <c r="K26" s="8"/>
      <c r="L26" s="8"/>
      <c r="M26" s="8"/>
      <c r="N26" s="12" t="s">
        <v>49</v>
      </c>
      <c r="O26" s="149" t="s">
        <v>53</v>
      </c>
      <c r="P26" s="149"/>
      <c r="Q26" s="149"/>
      <c r="R26" s="150" t="s">
        <v>58</v>
      </c>
      <c r="S26" s="150"/>
      <c r="T26" s="150"/>
      <c r="U26" s="150"/>
      <c r="V26" s="15"/>
      <c r="W26" s="15"/>
      <c r="X26" s="15"/>
      <c r="Y26" s="15"/>
    </row>
    <row r="27" spans="1:27" ht="20.25" customHeight="1">
      <c r="B27" s="1" t="s">
        <v>121</v>
      </c>
      <c r="K27" s="8"/>
      <c r="L27" s="8"/>
      <c r="M27" s="8"/>
      <c r="N27" s="12" t="s">
        <v>50</v>
      </c>
      <c r="O27" s="149" t="s">
        <v>136</v>
      </c>
      <c r="P27" s="149"/>
      <c r="Q27" s="149"/>
      <c r="R27" s="150" t="s">
        <v>59</v>
      </c>
      <c r="S27" s="150"/>
      <c r="T27" s="150"/>
      <c r="U27" s="150"/>
      <c r="V27" s="16"/>
      <c r="W27" s="16"/>
      <c r="X27" s="16"/>
      <c r="Y27" s="16"/>
    </row>
    <row r="28" spans="1:27" ht="20.25" customHeight="1">
      <c r="K28" s="21"/>
      <c r="L28" s="21"/>
      <c r="M28" s="21"/>
      <c r="N28" s="12" t="s">
        <v>51</v>
      </c>
      <c r="O28" s="149" t="s">
        <v>135</v>
      </c>
      <c r="P28" s="149"/>
      <c r="Q28" s="149"/>
      <c r="R28" s="150" t="s">
        <v>60</v>
      </c>
      <c r="S28" s="150"/>
      <c r="T28" s="150"/>
      <c r="U28" s="150"/>
      <c r="V28" s="17"/>
      <c r="W28" s="17"/>
      <c r="X28" s="17"/>
      <c r="Y28" s="17"/>
    </row>
    <row r="29" spans="1:27" ht="20.25" customHeight="1">
      <c r="H29" s="13"/>
      <c r="I29" s="13"/>
      <c r="J29" s="13"/>
      <c r="K29" s="33"/>
      <c r="L29" s="33"/>
      <c r="M29" s="33"/>
      <c r="N29" s="12" t="s">
        <v>52</v>
      </c>
      <c r="O29" s="149" t="s">
        <v>137</v>
      </c>
      <c r="P29" s="149"/>
      <c r="Q29" s="149"/>
      <c r="R29" s="150" t="s">
        <v>61</v>
      </c>
      <c r="S29" s="150"/>
      <c r="T29" s="150"/>
      <c r="U29" s="150"/>
      <c r="V29" s="18"/>
      <c r="W29" s="18"/>
      <c r="X29" s="18"/>
      <c r="Y29" s="18"/>
      <c r="Z29" s="18"/>
      <c r="AA29" s="18"/>
    </row>
    <row r="30" spans="1:27" ht="20.25" customHeight="1">
      <c r="H30" s="19"/>
      <c r="I30" s="19"/>
      <c r="J30" s="19"/>
      <c r="K30" s="33"/>
      <c r="L30" s="33"/>
      <c r="M30" s="33"/>
      <c r="N30" s="1" t="s">
        <v>125</v>
      </c>
      <c r="R30" s="33"/>
      <c r="S30" s="33"/>
      <c r="T30" s="33"/>
      <c r="U30" s="33"/>
      <c r="V30" s="8"/>
      <c r="W30" s="8"/>
      <c r="X30" s="8"/>
      <c r="Y30" s="8"/>
      <c r="Z30" s="8"/>
      <c r="AA30" s="8"/>
    </row>
    <row r="31" spans="1:27" ht="20.25" customHeight="1">
      <c r="H31" s="15"/>
      <c r="I31" s="15"/>
      <c r="J31" s="15"/>
      <c r="K31" s="22"/>
      <c r="L31" s="22"/>
      <c r="M31" s="22"/>
      <c r="N31" s="1" t="s">
        <v>62</v>
      </c>
      <c r="R31" s="22"/>
      <c r="S31" s="22"/>
      <c r="T31" s="22"/>
      <c r="U31" s="22"/>
      <c r="V31" s="17"/>
      <c r="W31" s="17"/>
      <c r="X31" s="17"/>
      <c r="Y31" s="17"/>
      <c r="Z31" s="17"/>
      <c r="AA31" s="17"/>
    </row>
    <row r="32" spans="1:27" ht="20.25" customHeight="1">
      <c r="B32" s="40" t="s">
        <v>74</v>
      </c>
      <c r="H32" s="15"/>
      <c r="I32" s="15"/>
      <c r="J32" s="15"/>
      <c r="K32" s="25"/>
      <c r="L32" s="25"/>
      <c r="M32" s="25"/>
      <c r="N32" s="1" t="s">
        <v>65</v>
      </c>
      <c r="P32" s="25"/>
      <c r="Q32" s="25"/>
      <c r="R32" s="25"/>
      <c r="S32" s="25"/>
      <c r="T32" s="25"/>
      <c r="U32" s="25"/>
      <c r="V32" s="8"/>
      <c r="W32" s="8"/>
      <c r="X32" s="8"/>
      <c r="Y32" s="8"/>
      <c r="Z32" s="8"/>
      <c r="AA32" s="8"/>
    </row>
    <row r="33" spans="1:28" ht="20.25" customHeight="1">
      <c r="B33" s="64" t="s">
        <v>70</v>
      </c>
      <c r="C33" s="63"/>
      <c r="D33" s="63"/>
      <c r="E33" s="63"/>
      <c r="F33" s="92">
        <f>$F$12/(F20*F8)+F15</f>
        <v>41.583011583011583</v>
      </c>
      <c r="G33" s="86" t="s">
        <v>71</v>
      </c>
      <c r="H33" s="8"/>
      <c r="I33" s="8"/>
      <c r="J33" s="8"/>
      <c r="K33" s="25"/>
      <c r="L33" s="25"/>
      <c r="M33" s="25"/>
      <c r="N33" s="1" t="s">
        <v>64</v>
      </c>
      <c r="P33" s="25"/>
      <c r="Q33" s="25"/>
      <c r="R33" s="25"/>
      <c r="S33" s="25"/>
      <c r="T33" s="25"/>
      <c r="U33" s="25"/>
      <c r="V33" s="8"/>
      <c r="W33" s="8"/>
      <c r="X33" s="8"/>
      <c r="Y33" s="8"/>
      <c r="Z33" s="8"/>
      <c r="AA33" s="8"/>
    </row>
    <row r="34" spans="1:28" ht="20.25" customHeight="1">
      <c r="B34" s="53"/>
      <c r="C34" s="53"/>
      <c r="D34" s="53"/>
      <c r="E34" s="53"/>
      <c r="F34" s="53"/>
      <c r="G34" s="54"/>
      <c r="H34" s="8"/>
      <c r="I34" s="8"/>
      <c r="J34" s="8"/>
      <c r="K34" s="25"/>
      <c r="L34" s="25"/>
      <c r="M34" s="25"/>
      <c r="N34" s="1" t="s">
        <v>63</v>
      </c>
      <c r="O34" s="20"/>
      <c r="P34" s="25"/>
      <c r="Q34" s="25"/>
      <c r="R34" s="25"/>
      <c r="S34" s="25"/>
      <c r="T34" s="25"/>
      <c r="U34" s="25"/>
      <c r="V34" s="8"/>
      <c r="W34" s="8"/>
      <c r="X34" s="8"/>
      <c r="Y34" s="8"/>
      <c r="Z34" s="8"/>
      <c r="AA34" s="8"/>
    </row>
    <row r="35" spans="1:28" ht="20.25" customHeight="1">
      <c r="A35" s="57" t="s">
        <v>89</v>
      </c>
      <c r="B35" s="65" t="s">
        <v>90</v>
      </c>
      <c r="C35" s="53"/>
      <c r="D35" s="53"/>
      <c r="E35" s="53"/>
      <c r="F35" s="53"/>
      <c r="G35" s="54"/>
      <c r="H35" s="8"/>
      <c r="I35" s="8"/>
      <c r="J35" s="8"/>
      <c r="K35" s="33"/>
      <c r="L35" s="33"/>
      <c r="M35" s="33"/>
      <c r="N35" s="25"/>
      <c r="O35" s="25"/>
      <c r="P35" s="25"/>
      <c r="Q35" s="25"/>
      <c r="R35" s="25"/>
      <c r="S35" s="25"/>
      <c r="T35" s="25"/>
      <c r="U35" s="25"/>
      <c r="V35" s="21"/>
      <c r="W35" s="21"/>
      <c r="X35" s="21"/>
      <c r="Y35" s="21"/>
      <c r="Z35" s="21"/>
      <c r="AA35" s="21"/>
    </row>
    <row r="36" spans="1:28" ht="20.25" customHeight="1">
      <c r="B36" s="53" t="s">
        <v>119</v>
      </c>
      <c r="C36" s="53"/>
      <c r="D36" s="53"/>
      <c r="E36" s="53"/>
      <c r="F36" s="53"/>
      <c r="G36" s="54"/>
      <c r="H36" s="8"/>
      <c r="I36" s="8"/>
      <c r="J36" s="8"/>
      <c r="K36" s="33"/>
      <c r="L36" s="33"/>
      <c r="M36" s="33"/>
      <c r="N36" s="24"/>
      <c r="O36" s="24"/>
      <c r="P36" s="24"/>
      <c r="Q36" s="24"/>
      <c r="R36" s="24"/>
      <c r="S36" s="24"/>
      <c r="T36" s="24"/>
      <c r="U36" s="24"/>
      <c r="V36" s="33"/>
      <c r="W36" s="33"/>
      <c r="X36" s="33"/>
      <c r="Y36" s="33"/>
      <c r="Z36" s="33"/>
      <c r="AA36" s="33"/>
    </row>
    <row r="37" spans="1:28" ht="20.25" customHeight="1">
      <c r="B37" s="91" t="str">
        <f>"必要換気熱量 Q = (総発熱量 ×安全率"&amp;F18&amp;") -  盤壁面からの放熱量"</f>
        <v>必要換気熱量 Q = (総発熱量 ×安全率1.5) -  盤壁面からの放熱量</v>
      </c>
      <c r="C37" s="91"/>
      <c r="D37" s="91"/>
      <c r="E37" s="91"/>
      <c r="F37" s="93">
        <f>(F12*F18)-F13</f>
        <v>382</v>
      </c>
      <c r="G37" s="87" t="s">
        <v>7</v>
      </c>
      <c r="H37" s="8"/>
      <c r="I37" s="8"/>
      <c r="J37" s="8"/>
      <c r="K37" s="25"/>
      <c r="L37" s="25"/>
      <c r="M37" s="25"/>
      <c r="N37" s="22"/>
      <c r="O37" s="24"/>
      <c r="P37" s="24"/>
      <c r="Q37" s="24"/>
      <c r="R37" s="24"/>
      <c r="S37" s="24"/>
      <c r="T37" s="24"/>
      <c r="U37" s="24"/>
      <c r="V37" s="33"/>
      <c r="W37" s="33"/>
      <c r="X37" s="33"/>
      <c r="Y37" s="33"/>
    </row>
    <row r="38" spans="1:28" ht="20.25" customHeight="1">
      <c r="A38" s="22"/>
      <c r="B38" s="1" t="s">
        <v>88</v>
      </c>
      <c r="G38" s="49"/>
      <c r="H38" s="8"/>
      <c r="I38" s="8"/>
      <c r="J38" s="8"/>
      <c r="K38" s="25"/>
      <c r="L38" s="25"/>
      <c r="M38" s="25"/>
      <c r="V38" s="22"/>
      <c r="W38" s="22"/>
      <c r="X38" s="22"/>
      <c r="Y38" s="22"/>
    </row>
    <row r="39" spans="1:28" ht="20.25" customHeight="1">
      <c r="A39" s="22"/>
      <c r="B39" s="1" t="s">
        <v>139</v>
      </c>
      <c r="G39" s="49"/>
      <c r="H39" s="8"/>
      <c r="I39" s="8"/>
      <c r="J39" s="8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14"/>
    </row>
    <row r="40" spans="1:28" ht="20.25" customHeight="1">
      <c r="A40" s="22"/>
      <c r="G40" s="49"/>
      <c r="H40" s="8"/>
      <c r="I40" s="8"/>
      <c r="J40" s="8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8" ht="20.25" customHeight="1">
      <c r="A41" s="57" t="s">
        <v>86</v>
      </c>
      <c r="B41" s="39" t="s">
        <v>106</v>
      </c>
      <c r="H41" s="17"/>
      <c r="I41" s="17"/>
      <c r="J41" s="8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8" ht="20.25" customHeight="1">
      <c r="A42" s="22"/>
      <c r="B42" s="1" t="s">
        <v>138</v>
      </c>
      <c r="H42" s="8"/>
      <c r="I42" s="8"/>
      <c r="J42" s="8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8" ht="20.25" customHeight="1">
      <c r="B43" s="1" t="s">
        <v>122</v>
      </c>
      <c r="G43" s="8"/>
      <c r="H43" s="8"/>
      <c r="I43" s="8"/>
      <c r="J43" s="8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4"/>
      <c r="W43" s="24"/>
      <c r="X43" s="24"/>
      <c r="Y43" s="24"/>
      <c r="Z43" s="24"/>
      <c r="AA43" s="14"/>
    </row>
    <row r="44" spans="1:28" ht="20.25" customHeight="1">
      <c r="G44" s="8"/>
      <c r="H44" s="8"/>
      <c r="I44" s="8"/>
      <c r="J44" s="8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4"/>
      <c r="W44" s="24"/>
      <c r="X44" s="24"/>
      <c r="Y44" s="24"/>
      <c r="Z44" s="24"/>
      <c r="AA44" s="24"/>
      <c r="AB44" s="14"/>
    </row>
    <row r="45" spans="1:28" ht="20.25" customHeight="1">
      <c r="G45" s="8"/>
      <c r="H45" s="8"/>
      <c r="I45" s="8"/>
      <c r="J45" s="8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AA45" s="14"/>
    </row>
    <row r="46" spans="1:28" ht="20.25" customHeight="1">
      <c r="G46" s="8"/>
      <c r="H46" s="8"/>
      <c r="I46" s="8"/>
      <c r="J46" s="8"/>
      <c r="K46" s="25"/>
      <c r="L46" s="25"/>
      <c r="M46" s="25"/>
      <c r="N46" s="25"/>
      <c r="O46" s="25"/>
      <c r="P46" s="14"/>
      <c r="V46" s="25"/>
      <c r="W46" s="25"/>
      <c r="X46" s="25"/>
      <c r="Y46" s="25"/>
      <c r="Z46" s="14"/>
    </row>
    <row r="47" spans="1:28" ht="20.25" customHeight="1">
      <c r="G47" s="8"/>
      <c r="H47" s="8"/>
      <c r="I47" s="8"/>
      <c r="J47" s="8"/>
      <c r="K47" s="25"/>
      <c r="L47" s="25"/>
      <c r="M47" s="25"/>
      <c r="N47" s="25"/>
      <c r="O47" s="25"/>
      <c r="P47" s="14"/>
      <c r="V47" s="25"/>
      <c r="W47" s="25"/>
      <c r="X47" s="25"/>
      <c r="Y47" s="25"/>
      <c r="Z47" s="14"/>
    </row>
    <row r="48" spans="1:28" ht="20.25" customHeight="1">
      <c r="B48" s="1" t="s">
        <v>120</v>
      </c>
      <c r="J48" s="25"/>
      <c r="K48" s="25"/>
      <c r="L48" s="25"/>
      <c r="M48" s="25"/>
      <c r="N48" s="25"/>
      <c r="O48" s="25"/>
      <c r="P48" s="14"/>
      <c r="V48" s="25"/>
      <c r="W48" s="25"/>
      <c r="X48" s="25"/>
      <c r="Y48" s="25"/>
      <c r="Z48" s="14"/>
    </row>
    <row r="49" spans="1:26" ht="20.25" customHeight="1">
      <c r="J49" s="24"/>
      <c r="K49" s="25"/>
      <c r="L49" s="25"/>
      <c r="M49" s="25"/>
      <c r="N49" s="25"/>
      <c r="O49" s="25"/>
      <c r="P49" s="14"/>
      <c r="V49" s="25"/>
      <c r="W49" s="25"/>
      <c r="X49" s="25"/>
      <c r="Y49" s="25"/>
      <c r="Z49" s="14"/>
    </row>
    <row r="50" spans="1:26" ht="20.25" customHeight="1">
      <c r="A50" s="57" t="s">
        <v>91</v>
      </c>
      <c r="B50" s="39" t="s">
        <v>80</v>
      </c>
      <c r="D50" s="40"/>
      <c r="E50" s="40"/>
      <c r="F50" s="40"/>
      <c r="G50" s="48"/>
      <c r="J50" s="24"/>
      <c r="K50" s="25"/>
      <c r="L50" s="25"/>
      <c r="M50" s="25"/>
      <c r="N50" s="25"/>
      <c r="O50" s="25"/>
      <c r="P50" s="14"/>
      <c r="V50" s="25"/>
      <c r="W50" s="25"/>
      <c r="X50" s="25"/>
      <c r="Y50" s="25"/>
      <c r="Z50" s="14"/>
    </row>
    <row r="51" spans="1:26" ht="20.25" customHeight="1">
      <c r="B51" s="1" t="s">
        <v>140</v>
      </c>
      <c r="D51" s="46"/>
      <c r="E51" s="46"/>
      <c r="F51" s="46"/>
      <c r="G51" s="47"/>
      <c r="H51" s="26"/>
      <c r="I51" s="26"/>
      <c r="K51" s="25"/>
      <c r="L51" s="25"/>
      <c r="M51" s="25"/>
      <c r="N51" s="25"/>
      <c r="O51" s="25"/>
      <c r="P51" s="14"/>
      <c r="V51" s="25"/>
      <c r="W51" s="25"/>
      <c r="X51" s="25"/>
      <c r="Y51" s="25"/>
      <c r="Z51" s="14"/>
    </row>
    <row r="52" spans="1:26" ht="20.25" customHeight="1">
      <c r="B52" s="1" t="s">
        <v>123</v>
      </c>
      <c r="D52" s="46"/>
      <c r="E52" s="46"/>
      <c r="F52" s="46"/>
      <c r="G52" s="47"/>
      <c r="H52" s="26"/>
      <c r="I52" s="26"/>
      <c r="K52" s="25"/>
      <c r="L52" s="25"/>
      <c r="M52" s="25"/>
      <c r="N52" s="25"/>
      <c r="O52" s="25"/>
      <c r="P52" s="14"/>
      <c r="V52" s="25"/>
      <c r="W52" s="25"/>
      <c r="X52" s="25"/>
      <c r="Y52" s="25"/>
      <c r="Z52" s="14"/>
    </row>
    <row r="53" spans="1:26" ht="20.25" customHeight="1">
      <c r="A53" s="22"/>
      <c r="B53" s="1" t="s">
        <v>124</v>
      </c>
      <c r="H53" s="25"/>
      <c r="I53" s="25"/>
      <c r="J53" s="25"/>
      <c r="K53" s="25"/>
      <c r="L53" s="25"/>
      <c r="M53" s="25"/>
      <c r="N53" s="25"/>
      <c r="O53" s="25"/>
      <c r="P53" s="14"/>
    </row>
    <row r="54" spans="1:26" ht="20.25" customHeight="1">
      <c r="H54" s="24"/>
      <c r="I54" s="24"/>
      <c r="J54" s="25"/>
    </row>
    <row r="55" spans="1:26" ht="20.25" customHeight="1">
      <c r="H55" s="24"/>
      <c r="I55" s="24"/>
      <c r="J55" s="25"/>
    </row>
    <row r="56" spans="1:26" ht="20.25" customHeight="1">
      <c r="B56" s="23"/>
      <c r="J56" s="25"/>
    </row>
    <row r="57" spans="1:26" ht="20.25" customHeight="1">
      <c r="B57" s="52" t="s">
        <v>96</v>
      </c>
      <c r="C57" s="23"/>
      <c r="D57" s="23"/>
      <c r="E57" s="23"/>
      <c r="F57" s="23"/>
      <c r="G57" s="24"/>
      <c r="H57" s="25"/>
      <c r="I57" s="25"/>
      <c r="J57" s="25"/>
    </row>
    <row r="58" spans="1:26" ht="20.25" customHeight="1">
      <c r="B58" s="52"/>
      <c r="C58" s="23"/>
      <c r="D58" s="23"/>
      <c r="E58" s="23"/>
      <c r="F58" s="23"/>
      <c r="G58" s="24"/>
      <c r="H58" s="25"/>
      <c r="I58" s="25"/>
      <c r="J58" s="25"/>
    </row>
    <row r="59" spans="1:26" ht="20.25" customHeight="1">
      <c r="B59" s="52"/>
      <c r="C59" s="23"/>
      <c r="D59" s="23"/>
      <c r="E59" s="23"/>
      <c r="F59" s="23"/>
      <c r="G59" s="24"/>
      <c r="H59" s="25"/>
      <c r="I59" s="25"/>
      <c r="J59" s="25"/>
    </row>
    <row r="60" spans="1:26" ht="19.5" customHeight="1">
      <c r="B60" s="23"/>
      <c r="C60" s="23"/>
      <c r="D60" s="23"/>
      <c r="E60" s="23"/>
      <c r="F60" s="23"/>
      <c r="G60" s="24"/>
      <c r="H60" s="25"/>
      <c r="I60" s="25"/>
      <c r="J60" s="25"/>
    </row>
    <row r="61" spans="1:26" ht="18.75">
      <c r="A61" s="57" t="s">
        <v>95</v>
      </c>
      <c r="B61" s="66" t="s">
        <v>94</v>
      </c>
      <c r="C61" s="23"/>
      <c r="D61" s="23"/>
      <c r="E61" s="23"/>
      <c r="F61" s="23"/>
      <c r="G61" s="24"/>
      <c r="H61" s="25"/>
      <c r="I61" s="25"/>
      <c r="J61" s="25"/>
    </row>
    <row r="62" spans="1:26" ht="18.75" customHeight="1" thickBot="1">
      <c r="B62" s="23"/>
      <c r="C62" s="23"/>
      <c r="D62" s="23"/>
      <c r="E62" s="23"/>
      <c r="F62" s="23"/>
      <c r="G62" s="24"/>
      <c r="H62" s="25"/>
      <c r="I62" s="25"/>
      <c r="J62" s="25"/>
    </row>
    <row r="63" spans="1:26" ht="54" customHeight="1">
      <c r="B63" s="164" t="s">
        <v>93</v>
      </c>
      <c r="C63" s="165"/>
      <c r="D63" s="170" t="s">
        <v>79</v>
      </c>
      <c r="E63" s="171"/>
      <c r="F63" s="159" t="s">
        <v>85</v>
      </c>
      <c r="G63" s="160"/>
      <c r="H63" s="160"/>
      <c r="I63" s="161"/>
      <c r="J63" s="25"/>
    </row>
    <row r="64" spans="1:26" ht="47.25">
      <c r="B64" s="166"/>
      <c r="C64" s="167"/>
      <c r="D64" s="31" t="s">
        <v>99</v>
      </c>
      <c r="E64" s="178" t="s">
        <v>37</v>
      </c>
      <c r="F64" s="174" t="s">
        <v>100</v>
      </c>
      <c r="G64" s="175"/>
      <c r="H64" s="180" t="s">
        <v>37</v>
      </c>
      <c r="I64" s="181"/>
      <c r="J64" s="59"/>
    </row>
    <row r="65" spans="2:10" ht="22.5" customHeight="1">
      <c r="B65" s="166"/>
      <c r="C65" s="167"/>
      <c r="D65" s="70" t="s">
        <v>107</v>
      </c>
      <c r="E65" s="179"/>
      <c r="F65" s="184" t="s">
        <v>113</v>
      </c>
      <c r="G65" s="185"/>
      <c r="H65" s="182"/>
      <c r="I65" s="183"/>
      <c r="J65" s="59"/>
    </row>
    <row r="66" spans="2:10" ht="27" customHeight="1">
      <c r="B66" s="166"/>
      <c r="C66" s="167"/>
      <c r="D66" s="61" t="s">
        <v>92</v>
      </c>
      <c r="E66" s="62" t="s">
        <v>81</v>
      </c>
      <c r="F66" s="176" t="s">
        <v>92</v>
      </c>
      <c r="G66" s="177"/>
      <c r="H66" s="172" t="s">
        <v>82</v>
      </c>
      <c r="I66" s="173"/>
      <c r="J66" s="59"/>
    </row>
    <row r="67" spans="2:10">
      <c r="B67" s="166"/>
      <c r="C67" s="167"/>
      <c r="D67" s="50"/>
      <c r="E67" s="60"/>
      <c r="F67" s="68" t="s">
        <v>38</v>
      </c>
      <c r="G67" s="69" t="s">
        <v>39</v>
      </c>
      <c r="H67" s="58" t="s">
        <v>38</v>
      </c>
      <c r="I67" s="51" t="s">
        <v>39</v>
      </c>
      <c r="J67" s="14"/>
    </row>
    <row r="68" spans="2:10" ht="30" customHeight="1" thickBot="1">
      <c r="B68" s="168"/>
      <c r="C68" s="169"/>
      <c r="D68" s="115" t="str">
        <f t="shared" ref="D68:I68" si="0">"安全率"&amp;$F$18</f>
        <v>安全率1.5</v>
      </c>
      <c r="E68" s="116" t="str">
        <f t="shared" si="0"/>
        <v>安全率1.5</v>
      </c>
      <c r="F68" s="117" t="str">
        <f t="shared" si="0"/>
        <v>安全率1.5</v>
      </c>
      <c r="G68" s="118" t="str">
        <f t="shared" si="0"/>
        <v>安全率1.5</v>
      </c>
      <c r="H68" s="119" t="str">
        <f t="shared" si="0"/>
        <v>安全率1.5</v>
      </c>
      <c r="I68" s="120" t="str">
        <f t="shared" si="0"/>
        <v>安全率1.5</v>
      </c>
      <c r="J68" s="14"/>
    </row>
    <row r="69" spans="2:10" ht="30" customHeight="1">
      <c r="B69" s="162" t="s">
        <v>8</v>
      </c>
      <c r="C69" s="163"/>
      <c r="D69" s="94">
        <f>$F$21*$F$22*0.002404*SQRT((2*9.8*$F$17*($F$16-$F$15)/(273.15+$F$16)))*($F$14-$F$15)*1000</f>
        <v>54.728746723017821</v>
      </c>
      <c r="E69" s="95" t="str">
        <f>ROUNDUP($F$37/D69,0)&amp;"組"&amp;"("&amp;ROUNDUP($F$37/D69,0)*2&amp;"個)"</f>
        <v>7組(14個)</v>
      </c>
      <c r="F69" s="99">
        <f>1.08/((3600/1000)/(F21*F22*(F16-F15)*F19)/60)</f>
        <v>211.45895999999999</v>
      </c>
      <c r="G69" s="100">
        <f>1.24/((3600/1000)/(F21*F22*(F16-F15)*F19)/60)</f>
        <v>242.78621333333331</v>
      </c>
      <c r="H69" s="101" t="str">
        <f>ROUNDUP($F$37/F69,0)&amp;"組"&amp;"("&amp;ROUNDUP($F$37/F69,0)*2&amp;"個)"</f>
        <v>2組(4個)</v>
      </c>
      <c r="I69" s="102" t="str">
        <f>ROUNDUP($F$37/G69,0)&amp;"組"&amp;"("&amp;ROUNDUP($F$37/G69,0)*2&amp;"個)"</f>
        <v>2組(4個)</v>
      </c>
      <c r="J69" s="14"/>
    </row>
    <row r="70" spans="2:10" ht="30" customHeight="1">
      <c r="B70" s="157" t="s">
        <v>9</v>
      </c>
      <c r="C70" s="158"/>
      <c r="D70" s="96">
        <f>$F$21*$F$22*0.002424*SQRT((2*9.8*$F$17*($F$16-$F$15)/(273.15+$F$16)))*($F$14-$F$15)*1000</f>
        <v>55.184060755655238</v>
      </c>
      <c r="E70" s="95" t="str">
        <f t="shared" ref="E70:E94" si="1">ROUNDUP($F$37/D70,0)&amp;"組"&amp;"("&amp;ROUNDUP($F$37/D70,0)*2&amp;"個)"</f>
        <v>7組(14個)</v>
      </c>
      <c r="F70" s="99">
        <f>0.74/((3600/1000)/(F21*F22*(F16-F15)*F19)/60)</f>
        <v>144.88854666666666</v>
      </c>
      <c r="G70" s="100">
        <f>0.84/((3600/1000)/(F21*F22*(F16-F15)*F19)/60)</f>
        <v>164.46807999999999</v>
      </c>
      <c r="H70" s="101" t="str">
        <f t="shared" ref="H70:H71" si="2">ROUNDUP($F$37/F70,0)&amp;"組"&amp;"("&amp;ROUNDUP($F$37/F70,0)*2&amp;"個)"</f>
        <v>3組(6個)</v>
      </c>
      <c r="I70" s="102" t="str">
        <f t="shared" ref="I70:I71" si="3">ROUNDUP($F$37/G70,0)&amp;"組"&amp;"("&amp;ROUNDUP($F$37/G70,0)*2&amp;"個)"</f>
        <v>3組(6個)</v>
      </c>
      <c r="J70" s="14"/>
    </row>
    <row r="71" spans="2:10" ht="30" customHeight="1">
      <c r="B71" s="157" t="s">
        <v>10</v>
      </c>
      <c r="C71" s="158"/>
      <c r="D71" s="96">
        <f>$F$21*$F$22*0.00221*SQRT((2*9.8*$F$17*($F$16-$F$15)/(273.15+$F$16)))*($F$14-$F$15)*1000</f>
        <v>50.312200606434857</v>
      </c>
      <c r="E71" s="95" t="str">
        <f t="shared" si="1"/>
        <v>8組(16個)</v>
      </c>
      <c r="F71" s="99">
        <f>0.66/((3600/1000)/(F21*F22*(F16-F15)*F19)/60)</f>
        <v>129.22492</v>
      </c>
      <c r="G71" s="100">
        <f>0.75/((3600/1000)/(F21*F22*(F16-F15)*F19)/60)</f>
        <v>146.84649999999999</v>
      </c>
      <c r="H71" s="101" t="str">
        <f t="shared" si="2"/>
        <v>3組(6個)</v>
      </c>
      <c r="I71" s="102" t="str">
        <f t="shared" si="3"/>
        <v>3組(6個)</v>
      </c>
      <c r="J71" s="14"/>
    </row>
    <row r="72" spans="2:10" ht="30" customHeight="1">
      <c r="B72" s="157" t="s">
        <v>11</v>
      </c>
      <c r="C72" s="158"/>
      <c r="D72" s="96">
        <f>$F$21*$F$22*0.003085*SQRT((2*9.8*$F$17*($F$16-$F$15)/(273.15+$F$16)))*($F$14-$F$15)*1000</f>
        <v>70.232189534321961</v>
      </c>
      <c r="E72" s="95" t="str">
        <f t="shared" si="1"/>
        <v>6組(12個)</v>
      </c>
      <c r="F72" s="103"/>
      <c r="G72" s="104"/>
      <c r="H72" s="105"/>
      <c r="I72" s="106"/>
      <c r="J72" s="14"/>
    </row>
    <row r="73" spans="2:10" ht="30" customHeight="1">
      <c r="B73" s="157" t="s">
        <v>12</v>
      </c>
      <c r="C73" s="158"/>
      <c r="D73" s="96">
        <f>$F$21*$F$22*0.002959*SQRT((2*9.8*$F$17*($F$16-$F$15)/(273.15+$F$16)))*($F$14-$F$15)*1000</f>
        <v>67.3637111287062</v>
      </c>
      <c r="E73" s="95" t="str">
        <f t="shared" si="1"/>
        <v>6組(12個)</v>
      </c>
      <c r="F73" s="103"/>
      <c r="G73" s="104"/>
      <c r="H73" s="105"/>
      <c r="I73" s="106"/>
      <c r="J73" s="14"/>
    </row>
    <row r="74" spans="2:10" ht="30" customHeight="1">
      <c r="B74" s="157" t="s">
        <v>13</v>
      </c>
      <c r="C74" s="158"/>
      <c r="D74" s="96">
        <f>$F$21*$F$22*0.002629*SQRT((2*9.8*$F$17*($F$16-$F$15)/(273.15+$F$16)))*($F$14-$F$15)*1000</f>
        <v>59.851029590188787</v>
      </c>
      <c r="E74" s="95" t="str">
        <f t="shared" si="1"/>
        <v>7組(14個)</v>
      </c>
      <c r="F74" s="103"/>
      <c r="G74" s="104"/>
      <c r="H74" s="105"/>
      <c r="I74" s="106"/>
      <c r="J74" s="14"/>
    </row>
    <row r="75" spans="2:10" ht="30" customHeight="1">
      <c r="B75" s="157" t="s">
        <v>14</v>
      </c>
      <c r="C75" s="158"/>
      <c r="D75" s="96">
        <f>$F$21*$F$22*0.004505*SQRT((2*9.8*$F$17*($F$16-$F$15)/(273.15+$F$16)))*($F$14-$F$15)*1000</f>
        <v>102.55948585157876</v>
      </c>
      <c r="E75" s="95" t="str">
        <f t="shared" si="1"/>
        <v>4組(8個)</v>
      </c>
      <c r="F75" s="99">
        <f>2.11/((3600/1000)/(F21*F22*(F16-F15)*F19)/60)</f>
        <v>413.12815333333327</v>
      </c>
      <c r="G75" s="100">
        <f>2.49/((3600/1000)/(F21*F22*(F16-F15)*F19)/60)</f>
        <v>487.53037999999998</v>
      </c>
      <c r="H75" s="101" t="str">
        <f>ROUNDUP($F$37/F75,0)&amp;"組"&amp;"("&amp;ROUNDUP($F$37/F75,0)*2&amp;"個)"</f>
        <v>1組(2個)</v>
      </c>
      <c r="I75" s="102" t="str">
        <f>ROUNDUP($F$37/G75,0)&amp;"組"&amp;"("&amp;ROUNDUP($F$37/G75,0)*2&amp;"個)"</f>
        <v>1組(2個)</v>
      </c>
      <c r="J75" s="14"/>
    </row>
    <row r="76" spans="2:10" ht="30" customHeight="1">
      <c r="B76" s="157" t="s">
        <v>15</v>
      </c>
      <c r="C76" s="158"/>
      <c r="D76" s="96">
        <f>$F$21*$F$22*0.003686*SQRT((2*9.8*$F$17*($F$16-$F$15)/(273.15+$F$16)))*($F$14-$F$15)*1000</f>
        <v>83.914376215076416</v>
      </c>
      <c r="E76" s="95" t="str">
        <f t="shared" si="1"/>
        <v>5組(10個)</v>
      </c>
      <c r="F76" s="99">
        <f>1.97/((3600/1000)/(F21*F22*(F16-F15)*F19)/60)</f>
        <v>385.71680666666663</v>
      </c>
      <c r="G76" s="100">
        <f>2.21/((3600/1000)/(F21*F22*(F16-F15)*F19)/60)</f>
        <v>432.70768666666663</v>
      </c>
      <c r="H76" s="101" t="str">
        <f t="shared" ref="H76:H77" si="4">ROUNDUP($F$37/F76,0)&amp;"組"&amp;"("&amp;ROUNDUP($F$37/F76,0)*2&amp;"個)"</f>
        <v>1組(2個)</v>
      </c>
      <c r="I76" s="102" t="str">
        <f t="shared" ref="I76:I77" si="5">ROUNDUP($F$37/G76,0)&amp;"組"&amp;"("&amp;ROUNDUP($F$37/G76,0)*2&amp;"個)"</f>
        <v>1組(2個)</v>
      </c>
      <c r="J76" s="14"/>
    </row>
    <row r="77" spans="2:10" ht="30" customHeight="1">
      <c r="B77" s="157" t="s">
        <v>16</v>
      </c>
      <c r="C77" s="158"/>
      <c r="D77" s="96">
        <f>$F$21*$F$22*0.003213*SQRT((2*9.8*$F$17*($F$16-$F$15)/(273.15+$F$16)))*($F$14-$F$15)*1000</f>
        <v>73.146199343201445</v>
      </c>
      <c r="E77" s="95" t="str">
        <f t="shared" si="1"/>
        <v>6組(12個)</v>
      </c>
      <c r="F77" s="99">
        <f>1.68/((3600/1000)/(F21*F22*(F16-F15)*F19)/60)</f>
        <v>328.93615999999997</v>
      </c>
      <c r="G77" s="100">
        <f>1.88/((3600/1000)/(F21*F22*(F16-F15)*F19)/60)</f>
        <v>368.09522666666658</v>
      </c>
      <c r="H77" s="101" t="str">
        <f t="shared" si="4"/>
        <v>2組(4個)</v>
      </c>
      <c r="I77" s="102" t="str">
        <f t="shared" si="5"/>
        <v>2組(4個)</v>
      </c>
      <c r="J77" s="14"/>
    </row>
    <row r="78" spans="2:10" ht="30" customHeight="1">
      <c r="B78" s="157" t="s">
        <v>17</v>
      </c>
      <c r="C78" s="158"/>
      <c r="D78" s="96">
        <f>$F$21*$F$22*0.004784*SQRT((2*9.8*$F$17*($F$16-$F$15)/(273.15+$F$16)))*($F$14-$F$15)*1000</f>
        <v>108.91111660687075</v>
      </c>
      <c r="E78" s="95" t="str">
        <f t="shared" si="1"/>
        <v>4組(8個)</v>
      </c>
      <c r="F78" s="103"/>
      <c r="G78" s="104"/>
      <c r="H78" s="105"/>
      <c r="I78" s="106"/>
      <c r="J78" s="14"/>
    </row>
    <row r="79" spans="2:10" ht="30" customHeight="1">
      <c r="B79" s="157" t="s">
        <v>18</v>
      </c>
      <c r="C79" s="158"/>
      <c r="D79" s="96">
        <f>$F$21*$F$22*0.004755*SQRT((2*9.8*$F$17*($F$16-$F$15)/(273.15+$F$16)))*($F$14-$F$15)*1000</f>
        <v>108.25091125954647</v>
      </c>
      <c r="E79" s="95" t="str">
        <f t="shared" si="1"/>
        <v>4組(8個)</v>
      </c>
      <c r="F79" s="103"/>
      <c r="G79" s="104"/>
      <c r="H79" s="105"/>
      <c r="I79" s="106"/>
      <c r="J79" s="14"/>
    </row>
    <row r="80" spans="2:10" ht="30" customHeight="1">
      <c r="B80" s="157" t="s">
        <v>19</v>
      </c>
      <c r="C80" s="158"/>
      <c r="D80" s="96">
        <f>$F$21*$F$22*0.004129*SQRT((2*9.8*$F$17*($F$16-$F$15)/(273.15+$F$16)))*($F$14-$F$15)*1000</f>
        <v>93.999582037995253</v>
      </c>
      <c r="E80" s="95" t="str">
        <f t="shared" si="1"/>
        <v>5組(10個)</v>
      </c>
      <c r="F80" s="103"/>
      <c r="G80" s="104"/>
      <c r="H80" s="105"/>
      <c r="I80" s="106"/>
      <c r="J80" s="14"/>
    </row>
    <row r="81" spans="2:10" ht="30" customHeight="1">
      <c r="B81" s="157" t="s">
        <v>20</v>
      </c>
      <c r="C81" s="158"/>
      <c r="D81" s="96">
        <f>$F$21*$F$22*0.006068*SQRT((2*9.8*$F$17*($F$16-$F$15)/(273.15+$F$16)))*($F$14-$F$15)*1000</f>
        <v>138.14227750219308</v>
      </c>
      <c r="E81" s="95" t="str">
        <f t="shared" si="1"/>
        <v>3組(6個)</v>
      </c>
      <c r="F81" s="99">
        <f>3.76/((3600/1000)/(F21*F22*(F16-F15)*F19)/60)</f>
        <v>736.19045333333315</v>
      </c>
      <c r="G81" s="100">
        <f>4.03/((3600/1000)/(F21*F22*(F16-F15)*F19)/60)</f>
        <v>789.05519333333325</v>
      </c>
      <c r="H81" s="101" t="str">
        <f>ROUNDUP($F$37/F81,0)&amp;"組"&amp;"("&amp;ROUNDUP($F$37/F81,0)*2&amp;"個)"</f>
        <v>1組(2個)</v>
      </c>
      <c r="I81" s="102" t="str">
        <f>ROUNDUP($F$37/G81,0)&amp;"組"&amp;"("&amp;ROUNDUP($F$37/G81,0)*2&amp;"個)"</f>
        <v>1組(2個)</v>
      </c>
      <c r="J81" s="14"/>
    </row>
    <row r="82" spans="2:10" ht="30" customHeight="1">
      <c r="B82" s="157" t="s">
        <v>21</v>
      </c>
      <c r="C82" s="158"/>
      <c r="D82" s="96">
        <f>$F$21*$F$22*0.005952*SQRT((2*9.8*$F$17*($F$16-$F$15)/(273.15+$F$16)))*($F$14-$F$15)*1000</f>
        <v>135.50145611289605</v>
      </c>
      <c r="E82" s="95" t="str">
        <f t="shared" si="1"/>
        <v>3組(6個)</v>
      </c>
      <c r="F82" s="99">
        <f>3.68/((3600/1000)/(F21*F22*(F16-F15)*F19)/60)</f>
        <v>720.52682666666658</v>
      </c>
      <c r="G82" s="100">
        <f>3.94/((3600/1000)/(F21*F22*(F16-F15)*F19)/60)</f>
        <v>771.43361333333326</v>
      </c>
      <c r="H82" s="101" t="str">
        <f t="shared" ref="H82:H89" si="6">ROUNDUP($F$37/F82,0)&amp;"組"&amp;"("&amp;ROUNDUP($F$37/F82,0)*2&amp;"個)"</f>
        <v>1組(2個)</v>
      </c>
      <c r="I82" s="102" t="str">
        <f t="shared" ref="I82:I89" si="7">ROUNDUP($F$37/G82,0)&amp;"組"&amp;"("&amp;ROUNDUP($F$37/G82,0)*2&amp;"個)"</f>
        <v>1組(2個)</v>
      </c>
      <c r="J82" s="14"/>
    </row>
    <row r="83" spans="2:10" ht="30" customHeight="1">
      <c r="B83" s="157" t="s">
        <v>22</v>
      </c>
      <c r="C83" s="158"/>
      <c r="D83" s="96">
        <f>$F$21*$F$22*0.005016*SQRT((2*9.8*$F$17*($F$16-$F$15)/(273.15+$F$16)))*($F$14-$F$15)*1000</f>
        <v>114.1927593854648</v>
      </c>
      <c r="E83" s="95" t="str">
        <f t="shared" si="1"/>
        <v>4組(8個)</v>
      </c>
      <c r="F83" s="99">
        <f>2.78/((3600/1000)/(F21*F22*(F16-F15)*F19)/60)</f>
        <v>544.31102666666652</v>
      </c>
      <c r="G83" s="100">
        <f>2.99/((3600/1000)/(F21*F22*(F16-F15)*F19)/60)</f>
        <v>585.42804666666666</v>
      </c>
      <c r="H83" s="101" t="str">
        <f t="shared" si="6"/>
        <v>1組(2個)</v>
      </c>
      <c r="I83" s="102" t="str">
        <f t="shared" si="7"/>
        <v>1組(2個)</v>
      </c>
      <c r="J83" s="14"/>
    </row>
    <row r="84" spans="2:10" ht="30" customHeight="1">
      <c r="B84" s="155" t="s">
        <v>30</v>
      </c>
      <c r="C84" s="156"/>
      <c r="D84" s="96">
        <f>$F$21*$F$22*0.002717*SQRT((2*9.8*$F$17*($F$16-$F$15)/(273.15+$F$16)))*($F$14-$F$15)*1000</f>
        <v>61.854411333793436</v>
      </c>
      <c r="E84" s="95" t="str">
        <f t="shared" si="1"/>
        <v>7組(14個)</v>
      </c>
      <c r="F84" s="99">
        <f>1.5/((3600/1000)/(F21*F22*(F16-F15)*F19)/60)</f>
        <v>293.69299999999998</v>
      </c>
      <c r="G84" s="100">
        <f>1.63/((3600/1000)/(F21*F22*(F16-F15)*F19)/60)</f>
        <v>319.14639333333326</v>
      </c>
      <c r="H84" s="101" t="str">
        <f t="shared" si="6"/>
        <v>2組(4個)</v>
      </c>
      <c r="I84" s="102" t="str">
        <f t="shared" si="7"/>
        <v>2組(4個)</v>
      </c>
      <c r="J84" s="14"/>
    </row>
    <row r="85" spans="2:10" ht="30" customHeight="1">
      <c r="B85" s="155" t="s">
        <v>31</v>
      </c>
      <c r="C85" s="156"/>
      <c r="D85" s="96">
        <f>$F$21*$F$22*0.002797*SQRT((2*9.8*$F$17*($F$16-$F$15)/(273.15+$F$16)))*($F$14-$F$15)*1000</f>
        <v>63.675667464343114</v>
      </c>
      <c r="E85" s="95" t="str">
        <f t="shared" si="1"/>
        <v>6組(12個)</v>
      </c>
      <c r="F85" s="99">
        <f>1.27/((3600/1000)/(F21*F22*(F16-F15)*F19)/60)</f>
        <v>248.66007333333332</v>
      </c>
      <c r="G85" s="100">
        <f>1.39/((3600/1000)/(F21*F22*(F16-F15)*F19)/60)</f>
        <v>272.15551333333326</v>
      </c>
      <c r="H85" s="101" t="str">
        <f t="shared" si="6"/>
        <v>2組(4個)</v>
      </c>
      <c r="I85" s="102" t="str">
        <f t="shared" si="7"/>
        <v>2組(4個)</v>
      </c>
      <c r="J85" s="14"/>
    </row>
    <row r="86" spans="2:10" ht="30" customHeight="1">
      <c r="B86" s="155" t="s">
        <v>32</v>
      </c>
      <c r="C86" s="156"/>
      <c r="D86" s="96">
        <f>$F$21*$F$22*0.00251*SQRT((2*9.8*$F$17*($F$16-$F$15)/(273.15+$F$16)))*($F$14-$F$15)*1000</f>
        <v>57.14191109599615</v>
      </c>
      <c r="E86" s="95" t="str">
        <f t="shared" si="1"/>
        <v>7組(14個)</v>
      </c>
      <c r="F86" s="99">
        <f>1.48/((3600/1000)/(F21*F22*(F16-F15)*F19)/60)</f>
        <v>289.77709333333331</v>
      </c>
      <c r="G86" s="100">
        <f>1.62/((3600/1000)/(F21*F22*(F16-F15)*F19)/60)</f>
        <v>317.18843999999996</v>
      </c>
      <c r="H86" s="101" t="str">
        <f t="shared" si="6"/>
        <v>2組(4個)</v>
      </c>
      <c r="I86" s="102" t="str">
        <f t="shared" si="7"/>
        <v>2組(4個)</v>
      </c>
      <c r="J86" s="14"/>
    </row>
    <row r="87" spans="2:10" ht="30" customHeight="1">
      <c r="B87" s="155" t="s">
        <v>33</v>
      </c>
      <c r="C87" s="156"/>
      <c r="D87" s="96">
        <f>$F$21*$F$22*0.005816*SQRT((2*9.8*$F$17*($F$16-$F$15)/(273.15+$F$16)))*($F$14-$F$15)*1000</f>
        <v>132.40532069096159</v>
      </c>
      <c r="E87" s="95" t="str">
        <f t="shared" si="1"/>
        <v>3組(6個)</v>
      </c>
      <c r="F87" s="99">
        <f>3.13/((3600/1000)/(F21*F22*(F16-F15)*F19)/60)</f>
        <v>612.83939333333319</v>
      </c>
      <c r="G87" s="100">
        <f>3.46/((3600/1000)/(F21*F22*(F16-F15)*F19)/60)</f>
        <v>677.45185333333325</v>
      </c>
      <c r="H87" s="101" t="str">
        <f t="shared" si="6"/>
        <v>1組(2個)</v>
      </c>
      <c r="I87" s="102" t="str">
        <f t="shared" si="7"/>
        <v>1組(2個)</v>
      </c>
      <c r="J87" s="14"/>
    </row>
    <row r="88" spans="2:10" ht="30" customHeight="1">
      <c r="B88" s="155" t="s">
        <v>34</v>
      </c>
      <c r="C88" s="156"/>
      <c r="D88" s="96">
        <f>$F$21*$F$22*0.006237*SQRT((2*9.8*$F$17*($F$16-$F$15)/(273.15+$F$16)))*($F$14-$F$15)*1000</f>
        <v>141.98968107797927</v>
      </c>
      <c r="E88" s="95" t="str">
        <f t="shared" si="1"/>
        <v>3組(6個)</v>
      </c>
      <c r="F88" s="99">
        <f>3.21/((3600/1000)/(F21*F22*(F16-F15)*F19)/60)</f>
        <v>628.50301999999988</v>
      </c>
      <c r="G88" s="100">
        <f>3.54/((3600/1000)/(F21*F22*(F16-F15)*F19)/60)</f>
        <v>693.11547999999993</v>
      </c>
      <c r="H88" s="101" t="str">
        <f t="shared" si="6"/>
        <v>1組(2個)</v>
      </c>
      <c r="I88" s="102" t="str">
        <f t="shared" si="7"/>
        <v>1組(2個)</v>
      </c>
      <c r="J88" s="14"/>
    </row>
    <row r="89" spans="2:10" ht="30" customHeight="1">
      <c r="B89" s="155" t="s">
        <v>35</v>
      </c>
      <c r="C89" s="156"/>
      <c r="D89" s="96">
        <f>$F$21*$F$22*0.005195*SQRT((2*9.8*$F$17*($F$16-$F$15)/(273.15+$F$16)))*($F$14-$F$15)*1000</f>
        <v>118.26781997756972</v>
      </c>
      <c r="E89" s="95" t="str">
        <f t="shared" si="1"/>
        <v>4組(8個)</v>
      </c>
      <c r="F89" s="99">
        <f>2.51/((3600/1000)/(F21*F22*(F16-F15)*F19)/60)</f>
        <v>491.44628666666654</v>
      </c>
      <c r="G89" s="100">
        <f>2.77/((3600/1000)/(F21*F22*(F16-F15)*F19)/60)</f>
        <v>542.35307333333333</v>
      </c>
      <c r="H89" s="101" t="str">
        <f t="shared" si="6"/>
        <v>1組(2個)</v>
      </c>
      <c r="I89" s="102" t="str">
        <f t="shared" si="7"/>
        <v>1組(2個)</v>
      </c>
      <c r="J89" s="14"/>
    </row>
    <row r="90" spans="2:10" ht="30" customHeight="1">
      <c r="B90" s="151" t="s">
        <v>23</v>
      </c>
      <c r="C90" s="152"/>
      <c r="D90" s="96">
        <f>$F$21*$F$22*0.002475*SQRT((2*9.8*$F$17*($F$16-$F$15)/(273.15+$F$16)))*($F$14-$F$15)*1000</f>
        <v>56.345111538880673</v>
      </c>
      <c r="E90" s="95" t="str">
        <f t="shared" si="1"/>
        <v>7組(14個)</v>
      </c>
      <c r="F90" s="107"/>
      <c r="G90" s="108"/>
      <c r="H90" s="105"/>
      <c r="I90" s="106"/>
      <c r="J90" s="14"/>
    </row>
    <row r="91" spans="2:10" ht="30" customHeight="1">
      <c r="B91" s="151" t="s">
        <v>24</v>
      </c>
      <c r="C91" s="152"/>
      <c r="D91" s="96">
        <f>$F$21*$F$22*0.001797*SQRT((2*9.8*$F$17*($F$16-$F$15)/(273.15+$F$16)))*($F$14-$F$15)*1000</f>
        <v>40.909965832472139</v>
      </c>
      <c r="E91" s="95" t="str">
        <f t="shared" si="1"/>
        <v>10組(20個)</v>
      </c>
      <c r="F91" s="107"/>
      <c r="G91" s="108"/>
      <c r="H91" s="105"/>
      <c r="I91" s="106"/>
      <c r="J91" s="14"/>
    </row>
    <row r="92" spans="2:10" ht="30" customHeight="1">
      <c r="B92" s="151" t="s">
        <v>25</v>
      </c>
      <c r="C92" s="152"/>
      <c r="D92" s="96">
        <f>$F$21*$F$22*0.002517*SQRT((2*9.8*$F$17*($F$16-$F$15)/(273.15+$F$16)))*($F$14-$F$15)*1000</f>
        <v>57.301271007419246</v>
      </c>
      <c r="E92" s="95" t="str">
        <f t="shared" si="1"/>
        <v>7組(14個)</v>
      </c>
      <c r="F92" s="107"/>
      <c r="G92" s="108"/>
      <c r="H92" s="105"/>
      <c r="I92" s="106"/>
      <c r="J92" s="14"/>
    </row>
    <row r="93" spans="2:10" ht="30" customHeight="1">
      <c r="B93" s="151" t="s">
        <v>26</v>
      </c>
      <c r="C93" s="152"/>
      <c r="D93" s="96">
        <f>$F$21*$F$22*0.004065*SQRT((2*9.8*$F$17*($F$16-$F$15)/(273.15+$F$16)))*($F$14-$F$15)*1000</f>
        <v>92.542577133555511</v>
      </c>
      <c r="E93" s="95" t="str">
        <f t="shared" si="1"/>
        <v>5組(10個)</v>
      </c>
      <c r="F93" s="109"/>
      <c r="G93" s="110"/>
      <c r="H93" s="105"/>
      <c r="I93" s="106"/>
      <c r="J93" s="14"/>
    </row>
    <row r="94" spans="2:10" ht="30" customHeight="1" thickBot="1">
      <c r="B94" s="153" t="s">
        <v>27</v>
      </c>
      <c r="C94" s="154"/>
      <c r="D94" s="97">
        <f>$F$21*$F$22*0.006159*SQRT((2*9.8*$F$17*($F$16-$F$15)/(273.15+$F$16)))*($F$14-$F$15)*1000</f>
        <v>140.21395635069334</v>
      </c>
      <c r="E94" s="98" t="str">
        <f t="shared" si="1"/>
        <v>3組(6個)</v>
      </c>
      <c r="F94" s="111"/>
      <c r="G94" s="112"/>
      <c r="H94" s="113"/>
      <c r="I94" s="114"/>
      <c r="J94" s="14"/>
    </row>
    <row r="95" spans="2:10" ht="17.25">
      <c r="B95" s="67" t="s">
        <v>126</v>
      </c>
      <c r="C95" s="8"/>
      <c r="D95" s="8"/>
      <c r="E95" s="8"/>
      <c r="F95" s="8"/>
      <c r="G95" s="8"/>
    </row>
    <row r="96" spans="2:10" ht="17.25">
      <c r="B96" s="67"/>
      <c r="C96" s="8"/>
      <c r="D96" s="8"/>
      <c r="E96" s="8"/>
      <c r="F96" s="8"/>
      <c r="G96" s="8"/>
    </row>
    <row r="97" spans="2:5" ht="17.25">
      <c r="B97" s="67" t="s">
        <v>76</v>
      </c>
      <c r="C97" s="8"/>
      <c r="D97" s="8"/>
      <c r="E97" s="8"/>
    </row>
    <row r="98" spans="2:5" ht="17.25">
      <c r="B98" s="39" t="s">
        <v>78</v>
      </c>
    </row>
    <row r="99" spans="2:5" ht="17.25">
      <c r="B99" s="39" t="s">
        <v>77</v>
      </c>
    </row>
  </sheetData>
  <sheetProtection algorithmName="SHA-512" hashValue="W8//m6mhsaDphIDpDBcTuCbaEsC50qcUnXDuRLuayZB69MDB2JOMy/niolplBssb5b8RxwGm3Ca4YByNU97gUg==" saltValue="YfOw6auMyfI2J3ZotscYyw==" spinCount="100000" sheet="1" objects="1" scenarios="1"/>
  <protectedRanges>
    <protectedRange sqref="F3 F5 F6 F7 F9 F10 F11 F14 F15 F18 F17 F19" name="ギャラリー換気計算"/>
  </protectedRanges>
  <mergeCells count="70">
    <mergeCell ref="F63:I63"/>
    <mergeCell ref="B69:C69"/>
    <mergeCell ref="B70:C70"/>
    <mergeCell ref="B71:C71"/>
    <mergeCell ref="B74:C74"/>
    <mergeCell ref="B63:C68"/>
    <mergeCell ref="D63:E63"/>
    <mergeCell ref="H66:I66"/>
    <mergeCell ref="F64:G64"/>
    <mergeCell ref="F66:G66"/>
    <mergeCell ref="E64:E65"/>
    <mergeCell ref="H64:I65"/>
    <mergeCell ref="F65:G65"/>
    <mergeCell ref="B75:C75"/>
    <mergeCell ref="B72:C72"/>
    <mergeCell ref="B78:C78"/>
    <mergeCell ref="B82:C82"/>
    <mergeCell ref="B73:C73"/>
    <mergeCell ref="B79:C79"/>
    <mergeCell ref="B80:C80"/>
    <mergeCell ref="B81:C81"/>
    <mergeCell ref="B76:C76"/>
    <mergeCell ref="B77:C77"/>
    <mergeCell ref="B83:C83"/>
    <mergeCell ref="B84:C84"/>
    <mergeCell ref="B85:C85"/>
    <mergeCell ref="B87:C87"/>
    <mergeCell ref="B86:C86"/>
    <mergeCell ref="B93:C93"/>
    <mergeCell ref="B94:C94"/>
    <mergeCell ref="B88:C88"/>
    <mergeCell ref="B89:C89"/>
    <mergeCell ref="B90:C90"/>
    <mergeCell ref="B91:C91"/>
    <mergeCell ref="B92:C92"/>
    <mergeCell ref="O28:Q28"/>
    <mergeCell ref="O29:Q29"/>
    <mergeCell ref="R22:U22"/>
    <mergeCell ref="R23:U23"/>
    <mergeCell ref="R24:U24"/>
    <mergeCell ref="R25:U25"/>
    <mergeCell ref="R26:U26"/>
    <mergeCell ref="O22:Q22"/>
    <mergeCell ref="O23:Q23"/>
    <mergeCell ref="O24:Q24"/>
    <mergeCell ref="O25:Q25"/>
    <mergeCell ref="O26:Q26"/>
    <mergeCell ref="R27:U27"/>
    <mergeCell ref="R28:U28"/>
    <mergeCell ref="R29:U29"/>
    <mergeCell ref="O27:Q27"/>
    <mergeCell ref="B5:E5"/>
    <mergeCell ref="B3:E3"/>
    <mergeCell ref="B6:E6"/>
    <mergeCell ref="B7:E7"/>
    <mergeCell ref="B8:E8"/>
    <mergeCell ref="B9:E9"/>
    <mergeCell ref="B10:E10"/>
    <mergeCell ref="B11:E11"/>
    <mergeCell ref="B12:E12"/>
    <mergeCell ref="B13:E13"/>
    <mergeCell ref="B19:E19"/>
    <mergeCell ref="B20:E20"/>
    <mergeCell ref="B21:E21"/>
    <mergeCell ref="B22:E22"/>
    <mergeCell ref="B14:E14"/>
    <mergeCell ref="B15:E15"/>
    <mergeCell ref="B17:E17"/>
    <mergeCell ref="B16:E16"/>
    <mergeCell ref="B18:E18"/>
  </mergeCells>
  <phoneticPr fontId="1"/>
  <dataValidations count="2">
    <dataValidation type="list" allowBlank="1" showInputMessage="1" showErrorMessage="1" prompt="次ページの盤の設置形式　(A～H)を_x000a_参考に選択してください_x000a_プルダウンで設定できます。" sqref="F3" xr:uid="{B0C9F75A-3B85-4B63-88B4-2D09A4CB8E3F}">
      <formula1>"A,B,C,D,E,F,G,H"</formula1>
    </dataValidation>
    <dataValidation type="decimal" operator="greaterThanOrEqual" allowBlank="1" showInputMessage="1" showErrorMessage="1" sqref="F5:F7" xr:uid="{36452FD4-30A1-4F61-BD8D-D11044997EAB}">
      <formula1>0</formula1>
    </dataValidation>
  </dataValidations>
  <pageMargins left="0.7" right="0.23463541666666668" top="0.75" bottom="0.75" header="0.3" footer="0.3"/>
  <pageSetup paperSize="9" scale="53" orientation="portrait" r:id="rId1"/>
  <headerFooter>
    <oddHeader>&amp;C換気計算シート（Ver.1.0)
（JSIA-T1016の手法による）&amp;R篠原電機株式会社</oddHeader>
  </headerFooter>
  <rowBreaks count="1" manualBreakCount="1">
    <brk id="59" max="16383" man="1"/>
  </rowBreaks>
  <ignoredErrors>
    <ignoredError sqref="F16 F8" unlockedFormula="1"/>
    <ignoredError sqref="F12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783D-61BA-4387-8B01-A3E3737FB4B6}">
  <dimension ref="B2:D26"/>
  <sheetViews>
    <sheetView showGridLines="0" showRowColHeaders="0" tabSelected="1" workbookViewId="0">
      <selection activeCell="D9" sqref="D9"/>
    </sheetView>
  </sheetViews>
  <sheetFormatPr defaultRowHeight="18.75"/>
  <cols>
    <col min="1" max="1" width="2.875" customWidth="1"/>
    <col min="4" max="4" width="44.625" customWidth="1"/>
    <col min="5" max="5" width="2.25" customWidth="1"/>
    <col min="8" max="8" width="44.625" customWidth="1"/>
  </cols>
  <sheetData>
    <row r="2" spans="2:4">
      <c r="B2" s="186" t="s">
        <v>130</v>
      </c>
      <c r="C2" s="186"/>
      <c r="D2" s="186"/>
    </row>
    <row r="3" spans="2:4">
      <c r="B3" s="9" t="s">
        <v>42</v>
      </c>
      <c r="C3" s="9" t="s">
        <v>41</v>
      </c>
      <c r="D3" s="9" t="s">
        <v>40</v>
      </c>
    </row>
    <row r="4" spans="2:4">
      <c r="B4" s="10">
        <v>1</v>
      </c>
      <c r="C4" s="11" t="s">
        <v>141</v>
      </c>
      <c r="D4" s="11" t="s">
        <v>43</v>
      </c>
    </row>
    <row r="5" spans="2:4">
      <c r="B5" s="10">
        <v>1.1000000000000001</v>
      </c>
      <c r="C5" s="11" t="s">
        <v>142</v>
      </c>
      <c r="D5" s="11" t="s">
        <v>143</v>
      </c>
    </row>
    <row r="6" spans="2:4">
      <c r="B6" s="10">
        <v>1.2</v>
      </c>
      <c r="C6" s="11" t="s">
        <v>144</v>
      </c>
      <c r="D6" s="11" t="s">
        <v>143</v>
      </c>
    </row>
    <row r="7" spans="2:4">
      <c r="B7" s="10">
        <v>1.3</v>
      </c>
      <c r="C7" s="11" t="s">
        <v>145</v>
      </c>
      <c r="D7" s="11" t="s">
        <v>143</v>
      </c>
    </row>
    <row r="8" spans="2:4">
      <c r="B8" s="10">
        <v>1.4</v>
      </c>
      <c r="C8" s="11" t="s">
        <v>148</v>
      </c>
      <c r="D8" s="11" t="s">
        <v>149</v>
      </c>
    </row>
    <row r="9" spans="2:4">
      <c r="B9" s="10"/>
      <c r="C9" s="11"/>
      <c r="D9" s="11"/>
    </row>
    <row r="10" spans="2:4">
      <c r="B10" s="10"/>
      <c r="C10" s="11"/>
      <c r="D10" s="11"/>
    </row>
    <row r="11" spans="2:4">
      <c r="B11" s="10"/>
      <c r="C11" s="11"/>
      <c r="D11" s="11"/>
    </row>
    <row r="12" spans="2:4">
      <c r="B12" s="10"/>
      <c r="C12" s="11"/>
      <c r="D12" s="11"/>
    </row>
    <row r="13" spans="2:4">
      <c r="B13" s="10"/>
      <c r="C13" s="11"/>
      <c r="D13" s="11"/>
    </row>
    <row r="14" spans="2:4">
      <c r="B14" s="10"/>
      <c r="C14" s="11"/>
      <c r="D14" s="11"/>
    </row>
    <row r="15" spans="2:4">
      <c r="B15" s="10"/>
      <c r="C15" s="11"/>
      <c r="D15" s="11"/>
    </row>
    <row r="16" spans="2:4">
      <c r="B16" s="10"/>
      <c r="C16" s="11"/>
      <c r="D16" s="11"/>
    </row>
    <row r="17" spans="2:4">
      <c r="B17" s="10"/>
      <c r="C17" s="11"/>
      <c r="D17" s="11"/>
    </row>
    <row r="18" spans="2:4">
      <c r="B18" s="10"/>
      <c r="C18" s="11"/>
      <c r="D18" s="11"/>
    </row>
    <row r="19" spans="2:4">
      <c r="B19" s="10"/>
      <c r="C19" s="11"/>
      <c r="D19" s="11"/>
    </row>
    <row r="20" spans="2:4">
      <c r="B20" s="10"/>
      <c r="C20" s="11"/>
      <c r="D20" s="11"/>
    </row>
    <row r="21" spans="2:4">
      <c r="B21" s="10"/>
      <c r="C21" s="11"/>
      <c r="D21" s="11"/>
    </row>
    <row r="22" spans="2:4">
      <c r="B22" s="10"/>
      <c r="C22" s="11"/>
      <c r="D22" s="11"/>
    </row>
    <row r="23" spans="2:4">
      <c r="B23" s="10"/>
      <c r="C23" s="11"/>
      <c r="D23" s="11"/>
    </row>
    <row r="24" spans="2:4">
      <c r="B24" s="10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</sheetData>
  <mergeCells count="1">
    <mergeCell ref="B2:D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換気計算シート</vt:lpstr>
      <vt:lpstr>変更履歴</vt:lpstr>
      <vt:lpstr>換気計算シート!Print_Area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篠原電機　技術開発</dc:creator>
  <cp:lastModifiedBy>立石</cp:lastModifiedBy>
  <cp:lastPrinted>2021-03-12T07:57:59Z</cp:lastPrinted>
  <dcterms:created xsi:type="dcterms:W3CDTF">2021-02-01T08:24:28Z</dcterms:created>
  <dcterms:modified xsi:type="dcterms:W3CDTF">2024-12-17T10:01:31Z</dcterms:modified>
</cp:coreProperties>
</file>